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7490" windowHeight="10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9" i="1" l="1"/>
  <c r="O49" i="1"/>
  <c r="N49" i="1"/>
  <c r="M49" i="1"/>
  <c r="L49" i="1"/>
  <c r="J49" i="1"/>
  <c r="I49" i="1"/>
  <c r="H49" i="1"/>
  <c r="G49" i="1"/>
  <c r="E49" i="1"/>
  <c r="D49" i="1"/>
  <c r="C49" i="1"/>
  <c r="B49" i="1"/>
  <c r="D30" i="1" l="1"/>
  <c r="B45" i="1"/>
  <c r="B30" i="1"/>
  <c r="C27" i="1"/>
  <c r="C13" i="1"/>
  <c r="D46" i="1"/>
  <c r="C43" i="1"/>
  <c r="B43" i="1"/>
  <c r="D42" i="1"/>
  <c r="C42" i="1"/>
  <c r="B42" i="1"/>
  <c r="D37" i="1"/>
  <c r="C37" i="1"/>
  <c r="B37" i="1"/>
  <c r="D35" i="1"/>
  <c r="D33" i="1"/>
  <c r="C33" i="1"/>
  <c r="B33" i="1"/>
  <c r="D32" i="1"/>
  <c r="C32" i="1"/>
  <c r="B32" i="1"/>
  <c r="D18" i="1"/>
  <c r="C18" i="1"/>
  <c r="B18" i="1"/>
  <c r="D15" i="1"/>
  <c r="C15" i="1"/>
  <c r="C12" i="1"/>
  <c r="B12" i="1"/>
  <c r="C9" i="1"/>
  <c r="B9" i="1"/>
  <c r="C4" i="1"/>
  <c r="B4" i="1"/>
  <c r="G45" i="1"/>
  <c r="G30" i="1"/>
  <c r="H13" i="1"/>
  <c r="I46" i="1"/>
  <c r="H43" i="1"/>
  <c r="G43" i="1"/>
  <c r="I42" i="1"/>
  <c r="H42" i="1"/>
  <c r="G42" i="1"/>
  <c r="I37" i="1"/>
  <c r="H37" i="1"/>
  <c r="G37" i="1"/>
  <c r="I35" i="1"/>
  <c r="I33" i="1"/>
  <c r="H33" i="1"/>
  <c r="G33" i="1"/>
  <c r="I32" i="1"/>
  <c r="H32" i="1"/>
  <c r="G32" i="1"/>
  <c r="I18" i="1"/>
  <c r="H18" i="1"/>
  <c r="G18" i="1"/>
  <c r="I15" i="1"/>
  <c r="H15" i="1"/>
  <c r="H12" i="1"/>
  <c r="H9" i="1"/>
  <c r="G9" i="1"/>
  <c r="H4" i="1"/>
  <c r="G4" i="1"/>
  <c r="B3" i="1"/>
  <c r="B31" i="1" l="1"/>
  <c r="G41" i="1"/>
  <c r="H31" i="1"/>
  <c r="G31" i="1"/>
  <c r="H30" i="1"/>
  <c r="K30" i="1"/>
  <c r="J27" i="1"/>
  <c r="G27" i="1"/>
  <c r="J48" i="1"/>
  <c r="I47" i="1"/>
  <c r="H47" i="1"/>
  <c r="G47" i="1"/>
  <c r="G38" i="1"/>
  <c r="H35" i="1"/>
  <c r="G35" i="1"/>
  <c r="I25" i="1"/>
  <c r="I24" i="1"/>
  <c r="H24" i="1"/>
  <c r="G24" i="1"/>
  <c r="K24" i="1" s="1"/>
  <c r="K18" i="1"/>
  <c r="I9" i="1"/>
  <c r="K9" i="1"/>
  <c r="H27" i="1"/>
  <c r="K43" i="1"/>
  <c r="K37" i="1"/>
  <c r="K12" i="1"/>
  <c r="G12" i="1"/>
  <c r="K4" i="1"/>
  <c r="H45" i="1"/>
  <c r="J26" i="1"/>
  <c r="J30" i="1"/>
  <c r="I27" i="1"/>
  <c r="K13" i="1"/>
  <c r="G13" i="1"/>
  <c r="J19" i="1"/>
  <c r="G46" i="1"/>
  <c r="I43" i="1"/>
  <c r="I36" i="1"/>
  <c r="G36" i="1"/>
  <c r="K36" i="1" s="1"/>
  <c r="K35" i="1"/>
  <c r="H22" i="1"/>
  <c r="G22" i="1"/>
  <c r="I21" i="1"/>
  <c r="K21" i="1" s="1"/>
  <c r="H21" i="1"/>
  <c r="G21" i="1"/>
  <c r="I20" i="1"/>
  <c r="K20" i="1" s="1"/>
  <c r="G17" i="1"/>
  <c r="I16" i="1"/>
  <c r="H16" i="1"/>
  <c r="G16" i="1"/>
  <c r="K15" i="1"/>
  <c r="G15" i="1"/>
  <c r="H11" i="1"/>
  <c r="K11" i="1" s="1"/>
  <c r="H7" i="1"/>
  <c r="I4" i="1"/>
  <c r="K48" i="1"/>
  <c r="K47" i="1"/>
  <c r="K46" i="1"/>
  <c r="K45" i="1"/>
  <c r="K44" i="1"/>
  <c r="K41" i="1"/>
  <c r="K40" i="1"/>
  <c r="K39" i="1"/>
  <c r="K38" i="1"/>
  <c r="K34" i="1"/>
  <c r="K33" i="1"/>
  <c r="K31" i="1"/>
  <c r="K29" i="1"/>
  <c r="K28" i="1"/>
  <c r="K26" i="1"/>
  <c r="K25" i="1"/>
  <c r="K23" i="1"/>
  <c r="K22" i="1"/>
  <c r="K19" i="1"/>
  <c r="K17" i="1"/>
  <c r="K16" i="1"/>
  <c r="K14" i="1"/>
  <c r="K10" i="1"/>
  <c r="K8" i="1"/>
  <c r="K7" i="1"/>
  <c r="K6" i="1"/>
  <c r="K5" i="1"/>
  <c r="K3" i="1"/>
  <c r="K2" i="1"/>
  <c r="H3" i="1"/>
  <c r="G3" i="1"/>
  <c r="I2" i="1"/>
  <c r="H2" i="1"/>
  <c r="G2" i="1"/>
  <c r="C45" i="1"/>
  <c r="B26" i="1"/>
  <c r="C22" i="1"/>
  <c r="B22" i="1"/>
  <c r="C21" i="1"/>
  <c r="D16" i="1"/>
  <c r="B15" i="1"/>
  <c r="D12" i="1"/>
  <c r="D2" i="1"/>
  <c r="C2" i="1"/>
  <c r="B2" i="1"/>
  <c r="E26" i="1"/>
  <c r="E30" i="1"/>
  <c r="E19" i="1"/>
  <c r="E48" i="1"/>
  <c r="B13" i="1"/>
  <c r="C47" i="1"/>
  <c r="B36" i="1"/>
  <c r="B23" i="1"/>
  <c r="B16" i="1"/>
  <c r="E27" i="1"/>
  <c r="D45" i="1"/>
  <c r="D11" i="1"/>
  <c r="C11" i="1"/>
  <c r="D47" i="1"/>
  <c r="B47" i="1"/>
  <c r="C35" i="1"/>
  <c r="C24" i="1"/>
  <c r="D21" i="1"/>
  <c r="D9" i="1"/>
  <c r="D13" i="1"/>
  <c r="D43" i="1"/>
  <c r="B35" i="1"/>
  <c r="D22" i="1"/>
  <c r="B21" i="1"/>
  <c r="D4" i="1"/>
  <c r="D3" i="1"/>
  <c r="C3" i="1"/>
  <c r="B17" i="1"/>
  <c r="C7" i="1"/>
  <c r="B27" i="1"/>
  <c r="B46" i="1"/>
  <c r="K27" i="1" l="1"/>
  <c r="K42" i="1"/>
  <c r="K32" i="1"/>
  <c r="K49" i="1" s="1"/>
  <c r="B41" i="1"/>
  <c r="D31" i="1"/>
  <c r="C31" i="1"/>
  <c r="C30" i="1"/>
  <c r="B38" i="1"/>
  <c r="C34" i="1"/>
  <c r="D25" i="1"/>
  <c r="D24" i="1"/>
  <c r="B24" i="1"/>
  <c r="C16" i="1"/>
  <c r="S35" i="1" l="1"/>
  <c r="F12" i="1"/>
  <c r="Q4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2" i="1"/>
  <c r="S3" i="1"/>
  <c r="S49" i="1" s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2" i="1"/>
  <c r="R3" i="1"/>
  <c r="R49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U29" i="1" s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5" i="1"/>
  <c r="U5" i="1" s="1"/>
  <c r="Q6" i="1"/>
  <c r="U6" i="1" s="1"/>
  <c r="Q7" i="1"/>
  <c r="U7" i="1" s="1"/>
  <c r="Q8" i="1"/>
  <c r="Q9" i="1"/>
  <c r="Q10" i="1"/>
  <c r="Q11" i="1"/>
  <c r="Q13" i="1"/>
  <c r="Q14" i="1"/>
  <c r="U14" i="1" s="1"/>
  <c r="Q15" i="1"/>
  <c r="Q16" i="1"/>
  <c r="U16" i="1" s="1"/>
  <c r="Q17" i="1"/>
  <c r="Q18" i="1"/>
  <c r="Q19" i="1"/>
  <c r="Q20" i="1"/>
  <c r="U20" i="1" s="1"/>
  <c r="Q21" i="1"/>
  <c r="Q22" i="1"/>
  <c r="Q23" i="1"/>
  <c r="U23" i="1" s="1"/>
  <c r="Q24" i="1"/>
  <c r="Q25" i="1"/>
  <c r="Q26" i="1"/>
  <c r="Q27" i="1"/>
  <c r="Q28" i="1"/>
  <c r="U28" i="1" s="1"/>
  <c r="Q29" i="1"/>
  <c r="Q30" i="1"/>
  <c r="Q31" i="1"/>
  <c r="Q32" i="1"/>
  <c r="Q33" i="1"/>
  <c r="Q34" i="1"/>
  <c r="U34" i="1" s="1"/>
  <c r="Q35" i="1"/>
  <c r="Q36" i="1"/>
  <c r="Q37" i="1"/>
  <c r="Q38" i="1"/>
  <c r="U38" i="1" s="1"/>
  <c r="Q39" i="1"/>
  <c r="U39" i="1" s="1"/>
  <c r="Q40" i="1"/>
  <c r="U40" i="1" s="1"/>
  <c r="Q41" i="1"/>
  <c r="Q42" i="1"/>
  <c r="Q43" i="1"/>
  <c r="Q44" i="1"/>
  <c r="U44" i="1" s="1"/>
  <c r="Q45" i="1"/>
  <c r="Q46" i="1"/>
  <c r="Q47" i="1"/>
  <c r="Q48" i="1"/>
  <c r="Q2" i="1"/>
  <c r="P2" i="1"/>
  <c r="Q49" i="1" l="1"/>
  <c r="U26" i="1"/>
  <c r="U10" i="1"/>
  <c r="U24" i="1"/>
  <c r="U48" i="1"/>
  <c r="U47" i="1"/>
  <c r="U8" i="1"/>
  <c r="U3" i="1"/>
  <c r="U2" i="1"/>
  <c r="U41" i="1"/>
  <c r="U37" i="1"/>
  <c r="U17" i="1"/>
  <c r="U13" i="1"/>
  <c r="U22" i="1"/>
  <c r="U36" i="1"/>
  <c r="U45" i="1"/>
  <c r="U21" i="1"/>
  <c r="U31" i="1"/>
  <c r="U11" i="1"/>
  <c r="U25" i="1"/>
  <c r="U19" i="1"/>
  <c r="U27" i="1"/>
  <c r="U46" i="1"/>
  <c r="U43" i="1"/>
  <c r="U42" i="1"/>
  <c r="U35" i="1"/>
  <c r="U33" i="1"/>
  <c r="U32" i="1"/>
  <c r="U30" i="1"/>
  <c r="U18" i="1"/>
  <c r="U15" i="1"/>
  <c r="U9" i="1"/>
  <c r="U4" i="1"/>
  <c r="Q12" i="1"/>
  <c r="U12" i="1" s="1"/>
  <c r="F45" i="1"/>
  <c r="F31" i="1"/>
  <c r="F24" i="1"/>
  <c r="F22" i="1"/>
  <c r="F21" i="1"/>
  <c r="F16" i="1"/>
  <c r="F11" i="1"/>
  <c r="F7" i="1"/>
  <c r="F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F5" i="1"/>
  <c r="F6" i="1"/>
  <c r="F8" i="1"/>
  <c r="F10" i="1"/>
  <c r="F13" i="1"/>
  <c r="F14" i="1"/>
  <c r="F17" i="1"/>
  <c r="F19" i="1"/>
  <c r="F20" i="1"/>
  <c r="F23" i="1"/>
  <c r="F25" i="1"/>
  <c r="F26" i="1"/>
  <c r="F27" i="1"/>
  <c r="F28" i="1"/>
  <c r="F29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2" i="1"/>
  <c r="P49" i="1" l="1"/>
  <c r="U49" i="1"/>
  <c r="F9" i="1"/>
  <c r="F30" i="1"/>
  <c r="F33" i="1"/>
  <c r="F32" i="1"/>
  <c r="F18" i="1"/>
  <c r="F15" i="1"/>
  <c r="F4" i="1"/>
  <c r="F49" i="1" l="1"/>
</calcChain>
</file>

<file path=xl/sharedStrings.xml><?xml version="1.0" encoding="utf-8"?>
<sst xmlns="http://schemas.openxmlformats.org/spreadsheetml/2006/main" count="68" uniqueCount="68">
  <si>
    <t>Arvin</t>
  </si>
  <si>
    <t>Special Ed 7-8</t>
  </si>
  <si>
    <t>Special Ed K-3</t>
  </si>
  <si>
    <t>Special Ed 4-6</t>
  </si>
  <si>
    <t>Community K-3</t>
  </si>
  <si>
    <t>Community 4-6</t>
  </si>
  <si>
    <t>Community 7-8</t>
  </si>
  <si>
    <t>Community 9-12</t>
  </si>
  <si>
    <t>Special Ed 9-12</t>
  </si>
  <si>
    <t>Bakersfield City</t>
  </si>
  <si>
    <t xml:space="preserve">Beardsley </t>
  </si>
  <si>
    <t>Belridge</t>
  </si>
  <si>
    <t>Blake</t>
  </si>
  <si>
    <t>Buttonwillow</t>
  </si>
  <si>
    <t>Caliente</t>
  </si>
  <si>
    <t>Delano Elem</t>
  </si>
  <si>
    <t>Delano High</t>
  </si>
  <si>
    <t>DiGiorgio</t>
  </si>
  <si>
    <t>Edison</t>
  </si>
  <si>
    <t>El Tejon</t>
  </si>
  <si>
    <t>Elk Hills</t>
  </si>
  <si>
    <t>Fairfax</t>
  </si>
  <si>
    <t>Fruitvale</t>
  </si>
  <si>
    <t>General Shafter</t>
  </si>
  <si>
    <t>Greenfield</t>
  </si>
  <si>
    <t>Kern High</t>
  </si>
  <si>
    <t>Kernville</t>
  </si>
  <si>
    <t>Lakeside</t>
  </si>
  <si>
    <t>Lamont</t>
  </si>
  <si>
    <t>Linns Valley</t>
  </si>
  <si>
    <t>Lost Hills</t>
  </si>
  <si>
    <t>Maple</t>
  </si>
  <si>
    <t>Maricopa Unified</t>
  </si>
  <si>
    <t>McFarland Unified</t>
  </si>
  <si>
    <t>McKittrick</t>
  </si>
  <si>
    <t>Midway</t>
  </si>
  <si>
    <t>Mojave Unified</t>
  </si>
  <si>
    <t>Muroc Unified</t>
  </si>
  <si>
    <t>Norris</t>
  </si>
  <si>
    <t>Panama-Buena Vista</t>
  </si>
  <si>
    <t>Pond</t>
  </si>
  <si>
    <t>Richland</t>
  </si>
  <si>
    <t>Rio Bravo-Greeley</t>
  </si>
  <si>
    <t>Rosedale</t>
  </si>
  <si>
    <t>Semitropic</t>
  </si>
  <si>
    <t>Sierra Sands Unified</t>
  </si>
  <si>
    <t>South Fork</t>
  </si>
  <si>
    <t>Southern Kern Unified</t>
  </si>
  <si>
    <t>Standard</t>
  </si>
  <si>
    <t>Taft City</t>
  </si>
  <si>
    <t>Taft High</t>
  </si>
  <si>
    <t>Tehachapi Unified</t>
  </si>
  <si>
    <t>Vineland</t>
  </si>
  <si>
    <t>Wasco El</t>
  </si>
  <si>
    <t>Wasco High</t>
  </si>
  <si>
    <t>TOTAL Special Ed</t>
  </si>
  <si>
    <t>TOTAL Community</t>
  </si>
  <si>
    <t>TOTAL</t>
  </si>
  <si>
    <t>Summer Sch K-3</t>
  </si>
  <si>
    <t>Summer Sch 4-6</t>
  </si>
  <si>
    <t>Summer Sch 7-8</t>
  </si>
  <si>
    <t>Summer Sch 9-12</t>
  </si>
  <si>
    <t>Summer Sch Total</t>
  </si>
  <si>
    <t>TOTAL K-3</t>
  </si>
  <si>
    <t>TOTAL 4-6</t>
  </si>
  <si>
    <t>TOTAL 7-8</t>
  </si>
  <si>
    <t>TOTAL 9-12</t>
  </si>
  <si>
    <t>2013-14 P-2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</si>
</sst>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/>
    <xf numFmtId="2" fontId="0" fillId="2" borderId="0" xfId="0" applyNumberFormat="1" applyFill="1"/>
    <xf numFmtId="0" fontId="0" fillId="2" borderId="0" xfId="0" applyFill="1"/>
    <xf numFmtId="2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0" fillId="2" borderId="4" xfId="0" applyNumberFormat="1" applyFill="1" applyBorder="1"/>
    <xf numFmtId="2" fontId="0" fillId="2" borderId="0" xfId="0" applyNumberFormat="1" applyFill="1" applyBorder="1"/>
    <xf numFmtId="2" fontId="1" fillId="2" borderId="5" xfId="0" applyNumberFormat="1" applyFont="1" applyFill="1" applyBorder="1"/>
    <xf numFmtId="2" fontId="0" fillId="0" borderId="4" xfId="0" applyNumberFormat="1" applyBorder="1"/>
    <xf numFmtId="2" fontId="0" fillId="0" borderId="0" xfId="0" applyNumberFormat="1" applyBorder="1"/>
    <xf numFmtId="2" fontId="1" fillId="0" borderId="5" xfId="0" applyNumberFormat="1" applyFont="1" applyBorder="1"/>
    <xf numFmtId="2" fontId="0" fillId="2" borderId="6" xfId="0" applyNumberFormat="1" applyFill="1" applyBorder="1"/>
    <xf numFmtId="2" fontId="0" fillId="2" borderId="7" xfId="0" applyNumberFormat="1" applyFill="1" applyBorder="1"/>
    <xf numFmtId="2" fontId="1" fillId="2" borderId="8" xfId="0" applyNumberFormat="1" applyFont="1" applyFill="1" applyBorder="1"/>
    <xf numFmtId="2" fontId="0" fillId="2" borderId="5" xfId="0" applyNumberFormat="1" applyFill="1" applyBorder="1"/>
    <xf numFmtId="2" fontId="0" fillId="0" borderId="5" xfId="0" applyNumberFormat="1" applyBorder="1"/>
    <xf numFmtId="2" fontId="0" fillId="2" borderId="8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2" fontId="1" fillId="0" borderId="5" xfId="0" applyNumberFormat="1" applyFont="1" applyFill="1" applyBorder="1"/>
    <xf numFmtId="2" fontId="0" fillId="3" borderId="7" xfId="0" applyNumberFormat="1" applyFill="1" applyBorder="1"/>
    <xf numFmtId="2" fontId="0" fillId="0" borderId="0" xfId="0" applyNumberFormat="1"/>
    <xf numFmtId="2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140625" style="1" bestFit="1" customWidth="1"/>
    <col min="2" max="5" width="9.7109375" customWidth="1"/>
    <col min="6" max="6" width="9.7109375" style="1" customWidth="1"/>
    <col min="7" max="10" width="9.7109375" customWidth="1"/>
    <col min="11" max="11" width="9.7109375" style="1" customWidth="1"/>
    <col min="12" max="16" width="11.7109375" customWidth="1"/>
    <col min="17" max="20" width="7" customWidth="1"/>
    <col min="21" max="21" width="7" style="1" customWidth="1"/>
  </cols>
  <sheetData>
    <row r="1" spans="1:21" ht="30" customHeight="1" thickTop="1" x14ac:dyDescent="0.25">
      <c r="A1" s="1" t="s">
        <v>67</v>
      </c>
      <c r="B1" s="6" t="s">
        <v>2</v>
      </c>
      <c r="C1" s="7" t="s">
        <v>3</v>
      </c>
      <c r="D1" s="7" t="s">
        <v>1</v>
      </c>
      <c r="E1" s="7" t="s">
        <v>8</v>
      </c>
      <c r="F1" s="8" t="s">
        <v>55</v>
      </c>
      <c r="G1" s="6" t="s">
        <v>58</v>
      </c>
      <c r="H1" s="7" t="s">
        <v>59</v>
      </c>
      <c r="I1" s="7" t="s">
        <v>60</v>
      </c>
      <c r="J1" s="7" t="s">
        <v>61</v>
      </c>
      <c r="K1" s="8" t="s">
        <v>62</v>
      </c>
      <c r="L1" s="6" t="s">
        <v>4</v>
      </c>
      <c r="M1" s="7" t="s">
        <v>5</v>
      </c>
      <c r="N1" s="7" t="s">
        <v>6</v>
      </c>
      <c r="O1" s="7" t="s">
        <v>7</v>
      </c>
      <c r="P1" s="8" t="s">
        <v>56</v>
      </c>
      <c r="Q1" s="6" t="s">
        <v>63</v>
      </c>
      <c r="R1" s="7" t="s">
        <v>64</v>
      </c>
      <c r="S1" s="7" t="s">
        <v>65</v>
      </c>
      <c r="T1" s="7" t="s">
        <v>66</v>
      </c>
      <c r="U1" s="8" t="s">
        <v>57</v>
      </c>
    </row>
    <row r="2" spans="1:21" s="4" customFormat="1" ht="14.45" x14ac:dyDescent="0.3">
      <c r="A2" s="2" t="s">
        <v>0</v>
      </c>
      <c r="B2" s="9">
        <f>1.89+1.63+0.9+0.82+1.17</f>
        <v>6.41</v>
      </c>
      <c r="C2" s="10">
        <f>0.57+1.82+0.12+0.7</f>
        <v>3.21</v>
      </c>
      <c r="D2" s="10">
        <f>1.8+0.87+0.35</f>
        <v>3.02</v>
      </c>
      <c r="E2" s="10"/>
      <c r="F2" s="11">
        <f>SUM(B2:E2)</f>
        <v>12.64</v>
      </c>
      <c r="G2" s="9">
        <f>SUM(43+68)/175</f>
        <v>0.63428571428571423</v>
      </c>
      <c r="H2" s="10">
        <f>SUM(43)/175</f>
        <v>0.24571428571428572</v>
      </c>
      <c r="I2" s="10">
        <f>SUM(30)/175</f>
        <v>0.17142857142857143</v>
      </c>
      <c r="J2" s="10"/>
      <c r="K2" s="11">
        <f>SUM(G2:J2)</f>
        <v>1.0514285714285714</v>
      </c>
      <c r="L2" s="9"/>
      <c r="M2" s="10"/>
      <c r="N2" s="10"/>
      <c r="O2" s="10"/>
      <c r="P2" s="18">
        <f>SUM(L2:O2)</f>
        <v>0</v>
      </c>
      <c r="Q2" s="9">
        <f>SUM(B2,G2,L2)</f>
        <v>7.0442857142857145</v>
      </c>
      <c r="R2" s="10">
        <f>SUM(C2,H2,M2)</f>
        <v>3.4557142857142855</v>
      </c>
      <c r="S2" s="10">
        <f>SUM(D2,I2,N2)</f>
        <v>3.1914285714285713</v>
      </c>
      <c r="T2" s="10">
        <f>SUM(E2,J2,O2)</f>
        <v>0</v>
      </c>
      <c r="U2" s="11">
        <f>SUM(Q2:T2)</f>
        <v>13.69142857142857</v>
      </c>
    </row>
    <row r="3" spans="1:21" ht="14.45" x14ac:dyDescent="0.3">
      <c r="A3" s="1" t="s">
        <v>9</v>
      </c>
      <c r="B3" s="12">
        <f>0.89+2.23+0.11</f>
        <v>3.23</v>
      </c>
      <c r="C3" s="13">
        <f>0.93+1.67</f>
        <v>2.6</v>
      </c>
      <c r="D3" s="13">
        <f>0.58+0.95+0.99</f>
        <v>2.5199999999999996</v>
      </c>
      <c r="E3" s="13"/>
      <c r="F3" s="14">
        <f t="shared" ref="F3:F48" si="0">SUM(B3:E3)</f>
        <v>8.35</v>
      </c>
      <c r="G3" s="12">
        <f>SUM(16+19)/175</f>
        <v>0.2</v>
      </c>
      <c r="H3" s="13">
        <f>SUM(36)/175</f>
        <v>0.20571428571428571</v>
      </c>
      <c r="I3" s="13"/>
      <c r="J3" s="13"/>
      <c r="K3" s="11">
        <f t="shared" ref="K3:K48" si="1">SUM(G3:J3)</f>
        <v>0.40571428571428569</v>
      </c>
      <c r="L3" s="12">
        <v>1.58</v>
      </c>
      <c r="M3" s="13">
        <v>6.21</v>
      </c>
      <c r="N3" s="13">
        <v>0.57999999999999996</v>
      </c>
      <c r="O3" s="13"/>
      <c r="P3" s="19">
        <f t="shared" ref="P3:P48" si="2">SUM(L3:O3)</f>
        <v>8.3699999999999992</v>
      </c>
      <c r="Q3" s="21">
        <f t="shared" ref="Q3:Q48" si="3">SUM(B3,G3,L3)</f>
        <v>5.01</v>
      </c>
      <c r="R3" s="22">
        <f t="shared" ref="R3:R48" si="4">SUM(C3,H3,M3)</f>
        <v>9.0157142857142851</v>
      </c>
      <c r="S3" s="22">
        <f t="shared" ref="S3:S48" si="5">SUM(D3,I3,N3)</f>
        <v>3.0999999999999996</v>
      </c>
      <c r="T3" s="22">
        <f t="shared" ref="T3:T48" si="6">SUM(E3,J3,O3)</f>
        <v>0</v>
      </c>
      <c r="U3" s="23">
        <f t="shared" ref="U3:U48" si="7">SUM(Q3:T3)</f>
        <v>17.125714285714285</v>
      </c>
    </row>
    <row r="4" spans="1:21" s="4" customFormat="1" ht="14.45" x14ac:dyDescent="0.3">
      <c r="A4" s="2" t="s">
        <v>10</v>
      </c>
      <c r="B4" s="9">
        <f>0.97+2.01+0.25+0.82+0.99</f>
        <v>5.04</v>
      </c>
      <c r="C4" s="10">
        <f>0.54+1.87+0.99+0.65</f>
        <v>4.0500000000000007</v>
      </c>
      <c r="D4" s="10">
        <f>0.52+0.93+2.54</f>
        <v>3.99</v>
      </c>
      <c r="E4" s="10"/>
      <c r="F4" s="11">
        <f t="shared" si="0"/>
        <v>13.08</v>
      </c>
      <c r="G4" s="9">
        <f>SUM(43+22)/175</f>
        <v>0.37142857142857144</v>
      </c>
      <c r="H4" s="10">
        <f>SUM(57+17)/175</f>
        <v>0.42285714285714288</v>
      </c>
      <c r="I4" s="10">
        <f>SUM(19)/175</f>
        <v>0.10857142857142857</v>
      </c>
      <c r="J4" s="10"/>
      <c r="K4" s="11">
        <f t="shared" si="1"/>
        <v>0.9028571428571428</v>
      </c>
      <c r="L4" s="9">
        <v>1.68</v>
      </c>
      <c r="M4" s="10">
        <v>1.84</v>
      </c>
      <c r="N4" s="10">
        <v>0.67</v>
      </c>
      <c r="O4" s="10"/>
      <c r="P4" s="18">
        <f t="shared" si="2"/>
        <v>4.1900000000000004</v>
      </c>
      <c r="Q4" s="9">
        <f t="shared" si="3"/>
        <v>7.0914285714285707</v>
      </c>
      <c r="R4" s="10">
        <f t="shared" si="4"/>
        <v>6.3128571428571432</v>
      </c>
      <c r="S4" s="10">
        <f t="shared" si="5"/>
        <v>4.7685714285714287</v>
      </c>
      <c r="T4" s="10">
        <f t="shared" si="6"/>
        <v>0</v>
      </c>
      <c r="U4" s="11">
        <f t="shared" si="7"/>
        <v>18.17285714285714</v>
      </c>
    </row>
    <row r="5" spans="1:21" ht="14.45" x14ac:dyDescent="0.3">
      <c r="A5" s="1" t="s">
        <v>11</v>
      </c>
      <c r="B5" s="12"/>
      <c r="C5" s="13"/>
      <c r="D5" s="13"/>
      <c r="E5" s="13"/>
      <c r="F5" s="14">
        <f t="shared" si="0"/>
        <v>0</v>
      </c>
      <c r="G5" s="12"/>
      <c r="H5" s="13"/>
      <c r="I5" s="13"/>
      <c r="J5" s="13"/>
      <c r="K5" s="11">
        <f t="shared" si="1"/>
        <v>0</v>
      </c>
      <c r="L5" s="12"/>
      <c r="M5" s="13"/>
      <c r="N5" s="13"/>
      <c r="O5" s="13"/>
      <c r="P5" s="19">
        <f t="shared" si="2"/>
        <v>0</v>
      </c>
      <c r="Q5" s="21">
        <f t="shared" si="3"/>
        <v>0</v>
      </c>
      <c r="R5" s="22">
        <f t="shared" si="4"/>
        <v>0</v>
      </c>
      <c r="S5" s="22">
        <f t="shared" si="5"/>
        <v>0</v>
      </c>
      <c r="T5" s="22">
        <f t="shared" si="6"/>
        <v>0</v>
      </c>
      <c r="U5" s="23">
        <f t="shared" si="7"/>
        <v>0</v>
      </c>
    </row>
    <row r="6" spans="1:21" s="4" customFormat="1" ht="14.45" x14ac:dyDescent="0.3">
      <c r="A6" s="2" t="s">
        <v>12</v>
      </c>
      <c r="B6" s="9"/>
      <c r="C6" s="10"/>
      <c r="D6" s="10"/>
      <c r="E6" s="10"/>
      <c r="F6" s="11">
        <f t="shared" si="0"/>
        <v>0</v>
      </c>
      <c r="G6" s="9"/>
      <c r="H6" s="10"/>
      <c r="I6" s="10"/>
      <c r="J6" s="10"/>
      <c r="K6" s="11">
        <f t="shared" si="1"/>
        <v>0</v>
      </c>
      <c r="L6" s="9"/>
      <c r="M6" s="10"/>
      <c r="N6" s="10"/>
      <c r="O6" s="10"/>
      <c r="P6" s="18">
        <f t="shared" si="2"/>
        <v>0</v>
      </c>
      <c r="Q6" s="9">
        <f t="shared" si="3"/>
        <v>0</v>
      </c>
      <c r="R6" s="10">
        <f t="shared" si="4"/>
        <v>0</v>
      </c>
      <c r="S6" s="10">
        <f t="shared" si="5"/>
        <v>0</v>
      </c>
      <c r="T6" s="10">
        <f t="shared" si="6"/>
        <v>0</v>
      </c>
      <c r="U6" s="11">
        <f t="shared" si="7"/>
        <v>0</v>
      </c>
    </row>
    <row r="7" spans="1:21" ht="14.45" x14ac:dyDescent="0.3">
      <c r="A7" s="1" t="s">
        <v>13</v>
      </c>
      <c r="B7" s="12"/>
      <c r="C7" s="13">
        <f>0.96</f>
        <v>0.96</v>
      </c>
      <c r="D7" s="13"/>
      <c r="E7" s="13"/>
      <c r="F7" s="14">
        <f t="shared" si="0"/>
        <v>0.96</v>
      </c>
      <c r="G7" s="12"/>
      <c r="H7" s="13">
        <f>SUM(14)/175</f>
        <v>0.08</v>
      </c>
      <c r="I7" s="13"/>
      <c r="J7" s="13"/>
      <c r="K7" s="11">
        <f t="shared" si="1"/>
        <v>0.08</v>
      </c>
      <c r="L7" s="12"/>
      <c r="M7" s="13"/>
      <c r="N7" s="13"/>
      <c r="O7" s="13"/>
      <c r="P7" s="19">
        <f t="shared" si="2"/>
        <v>0</v>
      </c>
      <c r="Q7" s="21">
        <f t="shared" si="3"/>
        <v>0</v>
      </c>
      <c r="R7" s="22">
        <f t="shared" si="4"/>
        <v>1.04</v>
      </c>
      <c r="S7" s="22">
        <f t="shared" si="5"/>
        <v>0</v>
      </c>
      <c r="T7" s="22">
        <f t="shared" si="6"/>
        <v>0</v>
      </c>
      <c r="U7" s="23">
        <f t="shared" si="7"/>
        <v>1.04</v>
      </c>
    </row>
    <row r="8" spans="1:21" s="4" customFormat="1" ht="14.45" x14ac:dyDescent="0.3">
      <c r="A8" s="2" t="s">
        <v>14</v>
      </c>
      <c r="B8" s="9"/>
      <c r="C8" s="10"/>
      <c r="D8" s="10"/>
      <c r="E8" s="10"/>
      <c r="F8" s="11">
        <f t="shared" si="0"/>
        <v>0</v>
      </c>
      <c r="G8" s="9"/>
      <c r="H8" s="10"/>
      <c r="I8" s="10"/>
      <c r="J8" s="10"/>
      <c r="K8" s="11">
        <f t="shared" si="1"/>
        <v>0</v>
      </c>
      <c r="L8" s="9"/>
      <c r="M8" s="10"/>
      <c r="N8" s="10"/>
      <c r="O8" s="10"/>
      <c r="P8" s="18">
        <f t="shared" si="2"/>
        <v>0</v>
      </c>
      <c r="Q8" s="9">
        <f t="shared" si="3"/>
        <v>0</v>
      </c>
      <c r="R8" s="10">
        <f t="shared" si="4"/>
        <v>0</v>
      </c>
      <c r="S8" s="10">
        <f t="shared" si="5"/>
        <v>0</v>
      </c>
      <c r="T8" s="10">
        <f t="shared" si="6"/>
        <v>0</v>
      </c>
      <c r="U8" s="11">
        <f t="shared" si="7"/>
        <v>0</v>
      </c>
    </row>
    <row r="9" spans="1:21" ht="14.45" x14ac:dyDescent="0.3">
      <c r="A9" s="1" t="s">
        <v>15</v>
      </c>
      <c r="B9" s="12">
        <f>0.68+1.61+0.75+1.9+2.74+0.66+0.83+0.98</f>
        <v>10.15</v>
      </c>
      <c r="C9" s="13">
        <f>0.13+0.95+2.89+1.92</f>
        <v>5.8900000000000006</v>
      </c>
      <c r="D9" s="13">
        <f>0.23</f>
        <v>0.23</v>
      </c>
      <c r="E9" s="13"/>
      <c r="F9" s="14">
        <f t="shared" si="0"/>
        <v>16.27</v>
      </c>
      <c r="G9" s="12">
        <f>SUM(63+52+33+10)/175</f>
        <v>0.9028571428571428</v>
      </c>
      <c r="H9" s="13">
        <f>SUM(54+8)/175</f>
        <v>0.35428571428571426</v>
      </c>
      <c r="I9" s="13">
        <f>SUM(37)/175</f>
        <v>0.21142857142857144</v>
      </c>
      <c r="J9" s="13"/>
      <c r="K9" s="11">
        <f t="shared" si="1"/>
        <v>1.4685714285714286</v>
      </c>
      <c r="L9" s="12"/>
      <c r="M9" s="13"/>
      <c r="N9" s="13">
        <v>1.1299999999999999</v>
      </c>
      <c r="O9" s="13"/>
      <c r="P9" s="19">
        <f t="shared" si="2"/>
        <v>1.1299999999999999</v>
      </c>
      <c r="Q9" s="21">
        <f t="shared" si="3"/>
        <v>11.052857142857142</v>
      </c>
      <c r="R9" s="22">
        <f t="shared" si="4"/>
        <v>6.2442857142857147</v>
      </c>
      <c r="S9" s="22">
        <f t="shared" si="5"/>
        <v>1.5714285714285714</v>
      </c>
      <c r="T9" s="22">
        <f t="shared" si="6"/>
        <v>0</v>
      </c>
      <c r="U9" s="23">
        <f t="shared" si="7"/>
        <v>18.868571428571432</v>
      </c>
    </row>
    <row r="10" spans="1:21" s="4" customFormat="1" ht="14.45" x14ac:dyDescent="0.3">
      <c r="A10" s="2" t="s">
        <v>16</v>
      </c>
      <c r="B10" s="9"/>
      <c r="C10" s="10"/>
      <c r="D10" s="10"/>
      <c r="E10" s="10"/>
      <c r="F10" s="11">
        <f t="shared" si="0"/>
        <v>0</v>
      </c>
      <c r="G10" s="9"/>
      <c r="H10" s="10"/>
      <c r="I10" s="10"/>
      <c r="J10" s="10"/>
      <c r="K10" s="11">
        <f t="shared" si="1"/>
        <v>0</v>
      </c>
      <c r="L10" s="9"/>
      <c r="M10" s="10"/>
      <c r="N10" s="10"/>
      <c r="O10" s="10">
        <v>19.73</v>
      </c>
      <c r="P10" s="18">
        <f t="shared" si="2"/>
        <v>19.73</v>
      </c>
      <c r="Q10" s="9">
        <f t="shared" si="3"/>
        <v>0</v>
      </c>
      <c r="R10" s="10">
        <f t="shared" si="4"/>
        <v>0</v>
      </c>
      <c r="S10" s="10">
        <f t="shared" si="5"/>
        <v>0</v>
      </c>
      <c r="T10" s="10">
        <f t="shared" si="6"/>
        <v>19.73</v>
      </c>
      <c r="U10" s="11">
        <f t="shared" si="7"/>
        <v>19.73</v>
      </c>
    </row>
    <row r="11" spans="1:21" ht="14.45" x14ac:dyDescent="0.3">
      <c r="A11" s="1" t="s">
        <v>17</v>
      </c>
      <c r="B11" s="12"/>
      <c r="C11" s="13">
        <f>0.97</f>
        <v>0.97</v>
      </c>
      <c r="D11" s="13">
        <f>0.93+0.3</f>
        <v>1.23</v>
      </c>
      <c r="E11" s="13"/>
      <c r="F11" s="14">
        <f t="shared" si="0"/>
        <v>2.2000000000000002</v>
      </c>
      <c r="G11" s="12"/>
      <c r="H11" s="13">
        <f>SUM(12)/175</f>
        <v>6.8571428571428575E-2</v>
      </c>
      <c r="I11" s="13"/>
      <c r="J11" s="13"/>
      <c r="K11" s="11">
        <f t="shared" si="1"/>
        <v>6.8571428571428575E-2</v>
      </c>
      <c r="L11" s="12"/>
      <c r="M11" s="13"/>
      <c r="N11" s="13"/>
      <c r="O11" s="13"/>
      <c r="P11" s="19">
        <f t="shared" si="2"/>
        <v>0</v>
      </c>
      <c r="Q11" s="21">
        <f t="shared" si="3"/>
        <v>0</v>
      </c>
      <c r="R11" s="22">
        <f t="shared" si="4"/>
        <v>1.0385714285714285</v>
      </c>
      <c r="S11" s="22">
        <f t="shared" si="5"/>
        <v>1.23</v>
      </c>
      <c r="T11" s="22">
        <f t="shared" si="6"/>
        <v>0</v>
      </c>
      <c r="U11" s="23">
        <f t="shared" si="7"/>
        <v>2.2685714285714287</v>
      </c>
    </row>
    <row r="12" spans="1:21" s="4" customFormat="1" ht="14.45" x14ac:dyDescent="0.3">
      <c r="A12" s="2" t="s">
        <v>18</v>
      </c>
      <c r="B12" s="9">
        <f>0.8+0.71+0.98+0.87+0.55</f>
        <v>3.91</v>
      </c>
      <c r="C12" s="10">
        <f>1.71+0.63+0.48+0.9</f>
        <v>3.7199999999999998</v>
      </c>
      <c r="D12" s="10">
        <f>0.85+0.59</f>
        <v>1.44</v>
      </c>
      <c r="E12" s="10"/>
      <c r="F12" s="11">
        <f>SUM(B12:E12)</f>
        <v>9.07</v>
      </c>
      <c r="G12" s="9">
        <f>SUM(30+10)/175</f>
        <v>0.22857142857142856</v>
      </c>
      <c r="H12" s="10">
        <f>SUM(43+35)/175</f>
        <v>0.44571428571428573</v>
      </c>
      <c r="I12" s="10"/>
      <c r="J12" s="10"/>
      <c r="K12" s="11">
        <f t="shared" si="1"/>
        <v>0.67428571428571427</v>
      </c>
      <c r="L12" s="9"/>
      <c r="M12" s="10">
        <v>0.12</v>
      </c>
      <c r="N12" s="10"/>
      <c r="O12" s="10"/>
      <c r="P12" s="18">
        <f t="shared" si="2"/>
        <v>0.12</v>
      </c>
      <c r="Q12" s="9">
        <f t="shared" si="3"/>
        <v>4.1385714285714288</v>
      </c>
      <c r="R12" s="10">
        <f t="shared" si="4"/>
        <v>4.2857142857142856</v>
      </c>
      <c r="S12" s="10">
        <f t="shared" si="5"/>
        <v>1.44</v>
      </c>
      <c r="T12" s="10">
        <f t="shared" si="6"/>
        <v>0</v>
      </c>
      <c r="U12" s="11">
        <f t="shared" si="7"/>
        <v>9.8642857142857139</v>
      </c>
    </row>
    <row r="13" spans="1:21" ht="14.45" x14ac:dyDescent="0.3">
      <c r="A13" s="1" t="s">
        <v>19</v>
      </c>
      <c r="B13" s="12">
        <f>1.58+0.92+0.89+0.87</f>
        <v>4.26</v>
      </c>
      <c r="C13" s="13">
        <f>0.55+1.89+0.94</f>
        <v>3.38</v>
      </c>
      <c r="D13" s="13">
        <f>0.93</f>
        <v>0.93</v>
      </c>
      <c r="E13" s="13"/>
      <c r="F13" s="14">
        <f t="shared" si="0"/>
        <v>8.57</v>
      </c>
      <c r="G13" s="12">
        <f>SUM(32)/175</f>
        <v>0.18285714285714286</v>
      </c>
      <c r="H13" s="13">
        <f>SUM(59+9)/175</f>
        <v>0.38857142857142857</v>
      </c>
      <c r="I13" s="13"/>
      <c r="J13" s="13"/>
      <c r="K13" s="11">
        <f t="shared" si="1"/>
        <v>0.5714285714285714</v>
      </c>
      <c r="L13" s="12"/>
      <c r="M13" s="13"/>
      <c r="N13" s="13"/>
      <c r="O13" s="13">
        <v>0.57999999999999996</v>
      </c>
      <c r="P13" s="19">
        <f t="shared" si="2"/>
        <v>0.57999999999999996</v>
      </c>
      <c r="Q13" s="21">
        <f t="shared" si="3"/>
        <v>4.4428571428571431</v>
      </c>
      <c r="R13" s="22">
        <f t="shared" si="4"/>
        <v>3.7685714285714287</v>
      </c>
      <c r="S13" s="22">
        <f t="shared" si="5"/>
        <v>0.93</v>
      </c>
      <c r="T13" s="22">
        <f t="shared" si="6"/>
        <v>0.57999999999999996</v>
      </c>
      <c r="U13" s="23">
        <f t="shared" si="7"/>
        <v>9.7214285714285715</v>
      </c>
    </row>
    <row r="14" spans="1:21" s="4" customFormat="1" ht="14.45" x14ac:dyDescent="0.3">
      <c r="A14" s="2" t="s">
        <v>20</v>
      </c>
      <c r="B14" s="9"/>
      <c r="C14" s="10"/>
      <c r="D14" s="10"/>
      <c r="E14" s="10"/>
      <c r="F14" s="11">
        <f t="shared" si="0"/>
        <v>0</v>
      </c>
      <c r="G14" s="9"/>
      <c r="H14" s="10"/>
      <c r="I14" s="10"/>
      <c r="J14" s="10"/>
      <c r="K14" s="11">
        <f t="shared" si="1"/>
        <v>0</v>
      </c>
      <c r="L14" s="9"/>
      <c r="M14" s="10"/>
      <c r="N14" s="10"/>
      <c r="O14" s="10"/>
      <c r="P14" s="18">
        <f t="shared" si="2"/>
        <v>0</v>
      </c>
      <c r="Q14" s="9">
        <f t="shared" si="3"/>
        <v>0</v>
      </c>
      <c r="R14" s="10">
        <f t="shared" si="4"/>
        <v>0</v>
      </c>
      <c r="S14" s="10">
        <f t="shared" si="5"/>
        <v>0</v>
      </c>
      <c r="T14" s="10">
        <f t="shared" si="6"/>
        <v>0</v>
      </c>
      <c r="U14" s="11">
        <f t="shared" si="7"/>
        <v>0</v>
      </c>
    </row>
    <row r="15" spans="1:21" ht="14.45" x14ac:dyDescent="0.3">
      <c r="A15" s="1" t="s">
        <v>21</v>
      </c>
      <c r="B15" s="12">
        <f>0.97+0.81+1.89+0.63+1.7+0.39+0.87</f>
        <v>7.26</v>
      </c>
      <c r="C15" s="13">
        <f>0.93+2.03+0.77+0.7+0.1+0.99+0.52+1.75</f>
        <v>7.7899999999999991</v>
      </c>
      <c r="D15" s="13">
        <f>1.95+3.95</f>
        <v>5.9</v>
      </c>
      <c r="E15" s="13"/>
      <c r="F15" s="14">
        <f t="shared" si="0"/>
        <v>20.95</v>
      </c>
      <c r="G15" s="12">
        <f>SUM(18+76)/175</f>
        <v>0.53714285714285714</v>
      </c>
      <c r="H15" s="13">
        <f>SUM(63+17)/175</f>
        <v>0.45714285714285713</v>
      </c>
      <c r="I15" s="13">
        <f>SUM(27+40)/175</f>
        <v>0.38285714285714284</v>
      </c>
      <c r="J15" s="13"/>
      <c r="K15" s="11">
        <f t="shared" si="1"/>
        <v>1.377142857142857</v>
      </c>
      <c r="L15" s="12">
        <v>0.25</v>
      </c>
      <c r="M15" s="13">
        <v>0.54</v>
      </c>
      <c r="N15" s="13"/>
      <c r="O15" s="13"/>
      <c r="P15" s="19">
        <f t="shared" si="2"/>
        <v>0.79</v>
      </c>
      <c r="Q15" s="21">
        <f t="shared" si="3"/>
        <v>8.0471428571428572</v>
      </c>
      <c r="R15" s="22">
        <f t="shared" si="4"/>
        <v>8.7871428571428574</v>
      </c>
      <c r="S15" s="22">
        <f t="shared" si="5"/>
        <v>6.2828571428571429</v>
      </c>
      <c r="T15" s="22">
        <f t="shared" si="6"/>
        <v>0</v>
      </c>
      <c r="U15" s="23">
        <f t="shared" si="7"/>
        <v>23.117142857142856</v>
      </c>
    </row>
    <row r="16" spans="1:21" s="4" customFormat="1" ht="14.45" x14ac:dyDescent="0.3">
      <c r="A16" s="2" t="s">
        <v>22</v>
      </c>
      <c r="B16" s="9">
        <f>0.85+0.96+0.08+0.24</f>
        <v>2.13</v>
      </c>
      <c r="C16" s="10">
        <f>0.13</f>
        <v>0.13</v>
      </c>
      <c r="D16" s="10">
        <f>0.24+0.3+1.73+0.87</f>
        <v>3.14</v>
      </c>
      <c r="E16" s="10"/>
      <c r="F16" s="11">
        <f t="shared" si="0"/>
        <v>5.4</v>
      </c>
      <c r="G16" s="9">
        <f>SUM(8+37)/175</f>
        <v>0.25714285714285712</v>
      </c>
      <c r="H16" s="10">
        <f>SUM(16)/175</f>
        <v>9.1428571428571428E-2</v>
      </c>
      <c r="I16" s="10">
        <f>SUM(12)/175</f>
        <v>6.8571428571428575E-2</v>
      </c>
      <c r="J16" s="10"/>
      <c r="K16" s="11">
        <f t="shared" si="1"/>
        <v>0.41714285714285709</v>
      </c>
      <c r="L16" s="9"/>
      <c r="M16" s="10"/>
      <c r="N16" s="10"/>
      <c r="O16" s="10"/>
      <c r="P16" s="18">
        <f t="shared" si="2"/>
        <v>0</v>
      </c>
      <c r="Q16" s="9">
        <f t="shared" si="3"/>
        <v>2.387142857142857</v>
      </c>
      <c r="R16" s="10">
        <f t="shared" si="4"/>
        <v>0.22142857142857142</v>
      </c>
      <c r="S16" s="10">
        <f t="shared" si="5"/>
        <v>3.2085714285714286</v>
      </c>
      <c r="T16" s="10">
        <f t="shared" si="6"/>
        <v>0</v>
      </c>
      <c r="U16" s="11">
        <f t="shared" si="7"/>
        <v>5.8171428571428567</v>
      </c>
    </row>
    <row r="17" spans="1:22" ht="14.45" x14ac:dyDescent="0.3">
      <c r="A17" s="1" t="s">
        <v>23</v>
      </c>
      <c r="B17" s="12">
        <f>0.97</f>
        <v>0.97</v>
      </c>
      <c r="C17" s="13"/>
      <c r="D17" s="13"/>
      <c r="E17" s="13"/>
      <c r="F17" s="14">
        <f t="shared" si="0"/>
        <v>0.97</v>
      </c>
      <c r="G17" s="12">
        <f>SUM(19)/175</f>
        <v>0.10857142857142857</v>
      </c>
      <c r="H17" s="13"/>
      <c r="I17" s="13"/>
      <c r="J17" s="13"/>
      <c r="K17" s="11">
        <f t="shared" si="1"/>
        <v>0.10857142857142857</v>
      </c>
      <c r="L17" s="12"/>
      <c r="M17" s="13"/>
      <c r="N17" s="13"/>
      <c r="O17" s="13"/>
      <c r="P17" s="19">
        <f t="shared" si="2"/>
        <v>0</v>
      </c>
      <c r="Q17" s="21">
        <f t="shared" si="3"/>
        <v>1.0785714285714285</v>
      </c>
      <c r="R17" s="22">
        <f t="shared" si="4"/>
        <v>0</v>
      </c>
      <c r="S17" s="22">
        <f t="shared" si="5"/>
        <v>0</v>
      </c>
      <c r="T17" s="22">
        <f t="shared" si="6"/>
        <v>0</v>
      </c>
      <c r="U17" s="23">
        <f t="shared" si="7"/>
        <v>1.0785714285714285</v>
      </c>
    </row>
    <row r="18" spans="1:22" s="4" customFormat="1" ht="14.45" x14ac:dyDescent="0.3">
      <c r="A18" s="2" t="s">
        <v>24</v>
      </c>
      <c r="B18" s="9">
        <f>0.01+2.16+0.9+0.81+1.49+2.54+2.95+0.97+0.86+2.79+1.83+2.9+1.1+0.69+2.96+0.96+2.32</f>
        <v>28.240000000000006</v>
      </c>
      <c r="C18" s="10">
        <f>1.38+5.75+0.77+1.76+2.61+0.67+5.63+1.7+1.39+5.31</f>
        <v>26.97</v>
      </c>
      <c r="D18" s="10">
        <f>3.68+0.69+1.79+2.15+6.92+1.69+0.46</f>
        <v>17.380000000000003</v>
      </c>
      <c r="E18" s="10"/>
      <c r="F18" s="11">
        <f t="shared" si="0"/>
        <v>72.59</v>
      </c>
      <c r="G18" s="9">
        <f>SUM(77+190+38+16+9)/175</f>
        <v>1.8857142857142857</v>
      </c>
      <c r="H18" s="10">
        <f>SUM(381+12)/175</f>
        <v>2.2457142857142856</v>
      </c>
      <c r="I18" s="10">
        <f>SUM(111+65)/175</f>
        <v>1.0057142857142858</v>
      </c>
      <c r="J18" s="10"/>
      <c r="K18" s="11">
        <f t="shared" si="1"/>
        <v>5.137142857142857</v>
      </c>
      <c r="L18" s="9">
        <v>0</v>
      </c>
      <c r="M18" s="10">
        <v>1.74</v>
      </c>
      <c r="N18" s="10">
        <v>0.34</v>
      </c>
      <c r="O18" s="10"/>
      <c r="P18" s="18">
        <f t="shared" si="2"/>
        <v>2.08</v>
      </c>
      <c r="Q18" s="9">
        <f t="shared" si="3"/>
        <v>30.125714285714292</v>
      </c>
      <c r="R18" s="10">
        <f t="shared" si="4"/>
        <v>30.955714285714283</v>
      </c>
      <c r="S18" s="10">
        <f t="shared" si="5"/>
        <v>18.72571428571429</v>
      </c>
      <c r="T18" s="10">
        <f t="shared" si="6"/>
        <v>0</v>
      </c>
      <c r="U18" s="11">
        <f t="shared" si="7"/>
        <v>79.807142857142864</v>
      </c>
    </row>
    <row r="19" spans="1:22" ht="14.45" x14ac:dyDescent="0.3">
      <c r="A19" s="1" t="s">
        <v>25</v>
      </c>
      <c r="B19" s="12"/>
      <c r="C19" s="13"/>
      <c r="D19" s="13"/>
      <c r="E19" s="13">
        <f>13.89</f>
        <v>13.89</v>
      </c>
      <c r="F19" s="14">
        <f t="shared" si="0"/>
        <v>13.89</v>
      </c>
      <c r="G19" s="12"/>
      <c r="H19" s="13"/>
      <c r="I19" s="13"/>
      <c r="J19" s="13">
        <f>SUM(290)/175</f>
        <v>1.6571428571428573</v>
      </c>
      <c r="K19" s="11">
        <f t="shared" si="1"/>
        <v>1.6571428571428573</v>
      </c>
      <c r="L19" s="12"/>
      <c r="M19" s="13"/>
      <c r="N19" s="13"/>
      <c r="O19" s="13">
        <v>78.23</v>
      </c>
      <c r="P19" s="19">
        <f t="shared" si="2"/>
        <v>78.23</v>
      </c>
      <c r="Q19" s="21">
        <f t="shared" si="3"/>
        <v>0</v>
      </c>
      <c r="R19" s="22">
        <f t="shared" si="4"/>
        <v>0</v>
      </c>
      <c r="S19" s="22">
        <f t="shared" si="5"/>
        <v>0</v>
      </c>
      <c r="T19" s="22">
        <f t="shared" si="6"/>
        <v>93.777142857142863</v>
      </c>
      <c r="U19" s="23">
        <f t="shared" si="7"/>
        <v>93.777142857142863</v>
      </c>
    </row>
    <row r="20" spans="1:22" s="4" customFormat="1" ht="14.45" x14ac:dyDescent="0.3">
      <c r="A20" s="2" t="s">
        <v>26</v>
      </c>
      <c r="B20" s="9"/>
      <c r="C20" s="10"/>
      <c r="D20" s="10"/>
      <c r="E20" s="10"/>
      <c r="F20" s="11">
        <f t="shared" si="0"/>
        <v>0</v>
      </c>
      <c r="G20" s="9"/>
      <c r="H20" s="10"/>
      <c r="I20" s="10">
        <f>SUM(19)/175</f>
        <v>0.10857142857142857</v>
      </c>
      <c r="J20" s="10"/>
      <c r="K20" s="11">
        <f t="shared" si="1"/>
        <v>0.10857142857142857</v>
      </c>
      <c r="L20" s="9"/>
      <c r="M20" s="10">
        <v>1.19</v>
      </c>
      <c r="N20" s="10">
        <v>1.17</v>
      </c>
      <c r="O20" s="10"/>
      <c r="P20" s="18">
        <f t="shared" si="2"/>
        <v>2.36</v>
      </c>
      <c r="Q20" s="9">
        <f t="shared" si="3"/>
        <v>0</v>
      </c>
      <c r="R20" s="10">
        <f t="shared" si="4"/>
        <v>1.19</v>
      </c>
      <c r="S20" s="10">
        <f t="shared" si="5"/>
        <v>1.2785714285714285</v>
      </c>
      <c r="T20" s="10">
        <f t="shared" si="6"/>
        <v>0</v>
      </c>
      <c r="U20" s="11">
        <f t="shared" si="7"/>
        <v>2.4685714285714284</v>
      </c>
    </row>
    <row r="21" spans="1:22" ht="14.45" x14ac:dyDescent="0.3">
      <c r="A21" s="1" t="s">
        <v>27</v>
      </c>
      <c r="B21" s="12">
        <f>0.96+0.9+0.96</f>
        <v>2.82</v>
      </c>
      <c r="C21" s="13">
        <f>0.98+1.37+0.86</f>
        <v>3.21</v>
      </c>
      <c r="D21" s="13">
        <f>0.94+0.68</f>
        <v>1.62</v>
      </c>
      <c r="E21" s="13"/>
      <c r="F21" s="14">
        <f t="shared" si="0"/>
        <v>7.6499999999999995</v>
      </c>
      <c r="G21" s="12">
        <f>SUM(10+31)/175</f>
        <v>0.23428571428571429</v>
      </c>
      <c r="H21" s="13">
        <f>SUM(32)/175</f>
        <v>0.18285714285714286</v>
      </c>
      <c r="I21" s="13">
        <f>SUM(16)/175</f>
        <v>9.1428571428571428E-2</v>
      </c>
      <c r="J21" s="13"/>
      <c r="K21" s="11">
        <f t="shared" si="1"/>
        <v>0.50857142857142856</v>
      </c>
      <c r="L21" s="12"/>
      <c r="M21" s="13"/>
      <c r="N21" s="13"/>
      <c r="O21" s="13"/>
      <c r="P21" s="19">
        <f t="shared" si="2"/>
        <v>0</v>
      </c>
      <c r="Q21" s="21">
        <f t="shared" si="3"/>
        <v>3.0542857142857143</v>
      </c>
      <c r="R21" s="22">
        <f t="shared" si="4"/>
        <v>3.3928571428571428</v>
      </c>
      <c r="S21" s="22">
        <f t="shared" si="5"/>
        <v>1.7114285714285715</v>
      </c>
      <c r="T21" s="22">
        <f t="shared" si="6"/>
        <v>0</v>
      </c>
      <c r="U21" s="23">
        <f t="shared" si="7"/>
        <v>8.1585714285714293</v>
      </c>
    </row>
    <row r="22" spans="1:22" s="4" customFormat="1" ht="14.45" x14ac:dyDescent="0.3">
      <c r="A22" s="2" t="s">
        <v>28</v>
      </c>
      <c r="B22" s="9">
        <f>0.76+0.73+0.89+1.43</f>
        <v>3.8099999999999996</v>
      </c>
      <c r="C22" s="10">
        <f>0.58+0.99+0.23</f>
        <v>1.7999999999999998</v>
      </c>
      <c r="D22" s="10">
        <f>0.99</f>
        <v>0.99</v>
      </c>
      <c r="E22" s="10"/>
      <c r="F22" s="11">
        <f t="shared" si="0"/>
        <v>6.6</v>
      </c>
      <c r="G22" s="9">
        <f>SUM(16+18)/175</f>
        <v>0.19428571428571428</v>
      </c>
      <c r="H22" s="10">
        <f>SUM(38)/175</f>
        <v>0.21714285714285714</v>
      </c>
      <c r="I22" s="10"/>
      <c r="J22" s="10"/>
      <c r="K22" s="11">
        <f t="shared" si="1"/>
        <v>0.41142857142857142</v>
      </c>
      <c r="L22" s="9"/>
      <c r="M22" s="10"/>
      <c r="N22" s="10"/>
      <c r="O22" s="10"/>
      <c r="P22" s="18">
        <f t="shared" si="2"/>
        <v>0</v>
      </c>
      <c r="Q22" s="9">
        <f t="shared" si="3"/>
        <v>4.0042857142857136</v>
      </c>
      <c r="R22" s="10">
        <f t="shared" si="4"/>
        <v>2.0171428571428569</v>
      </c>
      <c r="S22" s="10">
        <f t="shared" si="5"/>
        <v>0.99</v>
      </c>
      <c r="T22" s="10">
        <f t="shared" si="6"/>
        <v>0</v>
      </c>
      <c r="U22" s="11">
        <f t="shared" si="7"/>
        <v>7.0114285714285707</v>
      </c>
      <c r="V22" s="3"/>
    </row>
    <row r="23" spans="1:22" ht="14.45" x14ac:dyDescent="0.3">
      <c r="A23" s="1" t="s">
        <v>29</v>
      </c>
      <c r="B23" s="12">
        <f>0.28</f>
        <v>0.28000000000000003</v>
      </c>
      <c r="C23" s="13"/>
      <c r="D23" s="13"/>
      <c r="E23" s="13"/>
      <c r="F23" s="14">
        <f t="shared" si="0"/>
        <v>0.28000000000000003</v>
      </c>
      <c r="G23" s="12"/>
      <c r="H23" s="13"/>
      <c r="I23" s="13"/>
      <c r="J23" s="13"/>
      <c r="K23" s="11">
        <f t="shared" si="1"/>
        <v>0</v>
      </c>
      <c r="L23" s="12"/>
      <c r="M23" s="13"/>
      <c r="N23" s="13"/>
      <c r="O23" s="13"/>
      <c r="P23" s="19">
        <f t="shared" si="2"/>
        <v>0</v>
      </c>
      <c r="Q23" s="21">
        <f t="shared" si="3"/>
        <v>0.28000000000000003</v>
      </c>
      <c r="R23" s="22">
        <f t="shared" si="4"/>
        <v>0</v>
      </c>
      <c r="S23" s="22">
        <f t="shared" si="5"/>
        <v>0</v>
      </c>
      <c r="T23" s="22">
        <f t="shared" si="6"/>
        <v>0</v>
      </c>
      <c r="U23" s="23">
        <f t="shared" si="7"/>
        <v>0.28000000000000003</v>
      </c>
    </row>
    <row r="24" spans="1:22" s="4" customFormat="1" ht="14.45" x14ac:dyDescent="0.3">
      <c r="A24" s="2" t="s">
        <v>30</v>
      </c>
      <c r="B24" s="9">
        <f>0.5</f>
        <v>0.5</v>
      </c>
      <c r="C24" s="10">
        <f>0.87+1.71</f>
        <v>2.58</v>
      </c>
      <c r="D24" s="10">
        <f>2.65</f>
        <v>2.65</v>
      </c>
      <c r="E24" s="10"/>
      <c r="F24" s="11">
        <f t="shared" si="0"/>
        <v>5.73</v>
      </c>
      <c r="G24" s="9">
        <f>SUM(19+18)/175</f>
        <v>0.21142857142857144</v>
      </c>
      <c r="H24" s="10">
        <f>SUM(19+16)/175</f>
        <v>0.2</v>
      </c>
      <c r="I24" s="10">
        <f>SUM(52)/175</f>
        <v>0.29714285714285715</v>
      </c>
      <c r="J24" s="10"/>
      <c r="K24" s="11">
        <f t="shared" si="1"/>
        <v>0.70857142857142863</v>
      </c>
      <c r="L24" s="9"/>
      <c r="M24" s="10"/>
      <c r="N24" s="10"/>
      <c r="O24" s="10"/>
      <c r="P24" s="18">
        <f t="shared" si="2"/>
        <v>0</v>
      </c>
      <c r="Q24" s="9">
        <f t="shared" si="3"/>
        <v>0.71142857142857141</v>
      </c>
      <c r="R24" s="10">
        <f t="shared" si="4"/>
        <v>2.7800000000000002</v>
      </c>
      <c r="S24" s="10">
        <f t="shared" si="5"/>
        <v>2.9471428571428571</v>
      </c>
      <c r="T24" s="10">
        <f t="shared" si="6"/>
        <v>0</v>
      </c>
      <c r="U24" s="11">
        <f t="shared" si="7"/>
        <v>6.4385714285714286</v>
      </c>
    </row>
    <row r="25" spans="1:22" ht="14.45" x14ac:dyDescent="0.3">
      <c r="A25" s="1" t="s">
        <v>31</v>
      </c>
      <c r="B25" s="12"/>
      <c r="C25" s="13"/>
      <c r="D25" s="13">
        <f>0.88</f>
        <v>0.88</v>
      </c>
      <c r="E25" s="13"/>
      <c r="F25" s="14">
        <f t="shared" si="0"/>
        <v>0.88</v>
      </c>
      <c r="G25" s="12"/>
      <c r="H25" s="13"/>
      <c r="I25" s="13">
        <f>SUM(18)/175</f>
        <v>0.10285714285714286</v>
      </c>
      <c r="J25" s="13"/>
      <c r="K25" s="11">
        <f t="shared" si="1"/>
        <v>0.10285714285714286</v>
      </c>
      <c r="L25" s="12"/>
      <c r="M25" s="13"/>
      <c r="N25" s="13"/>
      <c r="O25" s="13"/>
      <c r="P25" s="19">
        <f t="shared" si="2"/>
        <v>0</v>
      </c>
      <c r="Q25" s="21">
        <f t="shared" si="3"/>
        <v>0</v>
      </c>
      <c r="R25" s="22">
        <f t="shared" si="4"/>
        <v>0</v>
      </c>
      <c r="S25" s="22">
        <f t="shared" si="5"/>
        <v>0.98285714285714287</v>
      </c>
      <c r="T25" s="22">
        <f t="shared" si="6"/>
        <v>0</v>
      </c>
      <c r="U25" s="23">
        <f t="shared" si="7"/>
        <v>0.98285714285714287</v>
      </c>
    </row>
    <row r="26" spans="1:22" s="4" customFormat="1" ht="14.45" x14ac:dyDescent="0.3">
      <c r="A26" s="2" t="s">
        <v>32</v>
      </c>
      <c r="B26" s="9">
        <f>0.42</f>
        <v>0.42</v>
      </c>
      <c r="C26" s="10"/>
      <c r="D26" s="10"/>
      <c r="E26" s="10">
        <f>0.94</f>
        <v>0.94</v>
      </c>
      <c r="F26" s="11">
        <f t="shared" si="0"/>
        <v>1.3599999999999999</v>
      </c>
      <c r="G26" s="9"/>
      <c r="H26" s="10"/>
      <c r="I26" s="10"/>
      <c r="J26" s="10">
        <f>SUM(18)/175</f>
        <v>0.10285714285714286</v>
      </c>
      <c r="K26" s="11">
        <f t="shared" si="1"/>
        <v>0.10285714285714286</v>
      </c>
      <c r="L26" s="9"/>
      <c r="M26" s="10"/>
      <c r="N26" s="10"/>
      <c r="O26" s="10">
        <v>0.6</v>
      </c>
      <c r="P26" s="18">
        <f t="shared" si="2"/>
        <v>0.6</v>
      </c>
      <c r="Q26" s="9">
        <f t="shared" si="3"/>
        <v>0.42</v>
      </c>
      <c r="R26" s="10">
        <f t="shared" si="4"/>
        <v>0</v>
      </c>
      <c r="S26" s="10">
        <f t="shared" si="5"/>
        <v>0</v>
      </c>
      <c r="T26" s="10">
        <f t="shared" si="6"/>
        <v>1.6428571428571428</v>
      </c>
      <c r="U26" s="11">
        <f t="shared" si="7"/>
        <v>2.0628571428571427</v>
      </c>
    </row>
    <row r="27" spans="1:22" ht="14.45" x14ac:dyDescent="0.3">
      <c r="A27" s="1" t="s">
        <v>33</v>
      </c>
      <c r="B27" s="12">
        <f>0.74+1.7</f>
        <v>2.44</v>
      </c>
      <c r="C27" s="13">
        <f>0.89+0.96</f>
        <v>1.85</v>
      </c>
      <c r="D27" s="13"/>
      <c r="E27" s="13">
        <f>4.15</f>
        <v>4.1500000000000004</v>
      </c>
      <c r="F27" s="14">
        <f t="shared" si="0"/>
        <v>8.4400000000000013</v>
      </c>
      <c r="G27" s="12">
        <f>SUM(19+15)/175</f>
        <v>0.19428571428571428</v>
      </c>
      <c r="H27" s="13">
        <f>SUM(7)/175</f>
        <v>0.04</v>
      </c>
      <c r="I27" s="13">
        <f>SUM(19)/175</f>
        <v>0.10857142857142857</v>
      </c>
      <c r="J27" s="13">
        <f>SUM(62)/175</f>
        <v>0.35428571428571426</v>
      </c>
      <c r="K27" s="11">
        <f t="shared" si="1"/>
        <v>0.69714285714285706</v>
      </c>
      <c r="L27" s="12"/>
      <c r="M27" s="13">
        <v>2.5499999999999998</v>
      </c>
      <c r="N27" s="13"/>
      <c r="O27" s="13">
        <v>1.18</v>
      </c>
      <c r="P27" s="19">
        <f t="shared" si="2"/>
        <v>3.7299999999999995</v>
      </c>
      <c r="Q27" s="21">
        <f t="shared" si="3"/>
        <v>2.6342857142857143</v>
      </c>
      <c r="R27" s="22">
        <f t="shared" si="4"/>
        <v>4.4399999999999995</v>
      </c>
      <c r="S27" s="22">
        <f t="shared" si="5"/>
        <v>0.10857142857142857</v>
      </c>
      <c r="T27" s="22">
        <f t="shared" si="6"/>
        <v>5.6842857142857142</v>
      </c>
      <c r="U27" s="23">
        <f t="shared" si="7"/>
        <v>12.867142857142856</v>
      </c>
    </row>
    <row r="28" spans="1:22" s="4" customFormat="1" ht="14.45" x14ac:dyDescent="0.3">
      <c r="A28" s="2" t="s">
        <v>34</v>
      </c>
      <c r="B28" s="9"/>
      <c r="C28" s="10"/>
      <c r="D28" s="10"/>
      <c r="E28" s="10"/>
      <c r="F28" s="11">
        <f t="shared" si="0"/>
        <v>0</v>
      </c>
      <c r="G28" s="9"/>
      <c r="H28" s="10"/>
      <c r="I28" s="10"/>
      <c r="J28" s="10"/>
      <c r="K28" s="11">
        <f t="shared" si="1"/>
        <v>0</v>
      </c>
      <c r="L28" s="9"/>
      <c r="M28" s="10"/>
      <c r="N28" s="10"/>
      <c r="O28" s="10"/>
      <c r="P28" s="18">
        <f t="shared" si="2"/>
        <v>0</v>
      </c>
      <c r="Q28" s="9">
        <f t="shared" si="3"/>
        <v>0</v>
      </c>
      <c r="R28" s="10">
        <f t="shared" si="4"/>
        <v>0</v>
      </c>
      <c r="S28" s="10">
        <f t="shared" si="5"/>
        <v>0</v>
      </c>
      <c r="T28" s="10">
        <f t="shared" si="6"/>
        <v>0</v>
      </c>
      <c r="U28" s="11">
        <f t="shared" si="7"/>
        <v>0</v>
      </c>
    </row>
    <row r="29" spans="1:22" ht="14.45" x14ac:dyDescent="0.3">
      <c r="A29" s="1" t="s">
        <v>35</v>
      </c>
      <c r="B29" s="12"/>
      <c r="C29" s="13"/>
      <c r="D29" s="13"/>
      <c r="E29" s="13"/>
      <c r="F29" s="14">
        <f t="shared" si="0"/>
        <v>0</v>
      </c>
      <c r="G29" s="12"/>
      <c r="H29" s="13"/>
      <c r="I29" s="13"/>
      <c r="J29" s="13"/>
      <c r="K29" s="11">
        <f t="shared" si="1"/>
        <v>0</v>
      </c>
      <c r="L29" s="12"/>
      <c r="M29" s="13"/>
      <c r="N29" s="13"/>
      <c r="O29" s="13"/>
      <c r="P29" s="19">
        <f t="shared" si="2"/>
        <v>0</v>
      </c>
      <c r="Q29" s="21">
        <f t="shared" si="3"/>
        <v>0</v>
      </c>
      <c r="R29" s="22">
        <f t="shared" si="4"/>
        <v>0</v>
      </c>
      <c r="S29" s="22">
        <f t="shared" si="5"/>
        <v>0</v>
      </c>
      <c r="T29" s="22">
        <f t="shared" si="6"/>
        <v>0</v>
      </c>
      <c r="U29" s="23">
        <f t="shared" si="7"/>
        <v>0</v>
      </c>
    </row>
    <row r="30" spans="1:22" s="4" customFormat="1" ht="14.45" x14ac:dyDescent="0.3">
      <c r="A30" s="2" t="s">
        <v>36</v>
      </c>
      <c r="B30" s="9">
        <f>0.41+1.75+5.27</f>
        <v>7.43</v>
      </c>
      <c r="C30" s="10">
        <f>2.87</f>
        <v>2.87</v>
      </c>
      <c r="D30" s="10">
        <f>0.84</f>
        <v>0.84</v>
      </c>
      <c r="E30" s="10">
        <f>0.98</f>
        <v>0.98</v>
      </c>
      <c r="F30" s="11">
        <f t="shared" si="0"/>
        <v>12.120000000000001</v>
      </c>
      <c r="G30" s="9">
        <f>SUM(19+33+43)/175</f>
        <v>0.54285714285714282</v>
      </c>
      <c r="H30" s="10">
        <f>SUM(22)/175</f>
        <v>0.12571428571428572</v>
      </c>
      <c r="I30" s="10"/>
      <c r="J30" s="10">
        <f>SUM(2)/175</f>
        <v>1.1428571428571429E-2</v>
      </c>
      <c r="K30" s="11">
        <f t="shared" si="1"/>
        <v>0.68</v>
      </c>
      <c r="L30" s="9">
        <v>0.48</v>
      </c>
      <c r="M30" s="10">
        <v>7.0000000000000007E-2</v>
      </c>
      <c r="N30" s="10">
        <v>0.04</v>
      </c>
      <c r="O30" s="10">
        <v>6.76</v>
      </c>
      <c r="P30" s="18">
        <f t="shared" si="2"/>
        <v>7.35</v>
      </c>
      <c r="Q30" s="9">
        <f t="shared" si="3"/>
        <v>8.4528571428571428</v>
      </c>
      <c r="R30" s="10">
        <f t="shared" si="4"/>
        <v>3.0657142857142858</v>
      </c>
      <c r="S30" s="10">
        <f t="shared" si="5"/>
        <v>0.88</v>
      </c>
      <c r="T30" s="10">
        <f t="shared" si="6"/>
        <v>7.7514285714285709</v>
      </c>
      <c r="U30" s="11">
        <f t="shared" si="7"/>
        <v>20.149999999999999</v>
      </c>
    </row>
    <row r="31" spans="1:22" ht="14.45" x14ac:dyDescent="0.3">
      <c r="A31" s="1" t="s">
        <v>37</v>
      </c>
      <c r="B31" s="12">
        <f>1.8+1.62</f>
        <v>3.42</v>
      </c>
      <c r="C31" s="13">
        <f>0.87</f>
        <v>0.87</v>
      </c>
      <c r="D31" s="13">
        <f>0.94</f>
        <v>0.94</v>
      </c>
      <c r="E31" s="13"/>
      <c r="F31" s="14">
        <f t="shared" si="0"/>
        <v>5.23</v>
      </c>
      <c r="G31" s="12">
        <f>SUM(13+13)/175</f>
        <v>0.14857142857142858</v>
      </c>
      <c r="H31" s="13">
        <f>SUM(27)/175</f>
        <v>0.15428571428571428</v>
      </c>
      <c r="I31" s="13"/>
      <c r="J31" s="13"/>
      <c r="K31" s="11">
        <f t="shared" si="1"/>
        <v>0.30285714285714282</v>
      </c>
      <c r="L31" s="12"/>
      <c r="M31" s="13"/>
      <c r="N31" s="13">
        <v>0.08</v>
      </c>
      <c r="O31" s="13">
        <v>2.56</v>
      </c>
      <c r="P31" s="19">
        <f t="shared" si="2"/>
        <v>2.64</v>
      </c>
      <c r="Q31" s="21">
        <f t="shared" si="3"/>
        <v>3.5685714285714285</v>
      </c>
      <c r="R31" s="22">
        <f t="shared" si="4"/>
        <v>1.0242857142857142</v>
      </c>
      <c r="S31" s="22">
        <f t="shared" si="5"/>
        <v>1.02</v>
      </c>
      <c r="T31" s="22">
        <f t="shared" si="6"/>
        <v>2.56</v>
      </c>
      <c r="U31" s="23">
        <f t="shared" si="7"/>
        <v>8.1728571428571435</v>
      </c>
    </row>
    <row r="32" spans="1:22" s="4" customFormat="1" ht="14.45" x14ac:dyDescent="0.3">
      <c r="A32" s="2" t="s">
        <v>38</v>
      </c>
      <c r="B32" s="9">
        <f>0.81+0.98+0.26+0.96+1.83+0.55+0.96+0.18+1.85+0.89+0.87+0.94</f>
        <v>11.079999999999998</v>
      </c>
      <c r="C32" s="10">
        <f>0.26+0.98+0.79+1.95+1.77</f>
        <v>5.75</v>
      </c>
      <c r="D32" s="10">
        <f>0.44+0.93+0.52+1.97+1.93+0.28</f>
        <v>6.07</v>
      </c>
      <c r="E32" s="10"/>
      <c r="F32" s="11">
        <f t="shared" si="0"/>
        <v>22.9</v>
      </c>
      <c r="G32" s="9">
        <f>SUM(35+99+20)/175</f>
        <v>0.88</v>
      </c>
      <c r="H32" s="10">
        <f>SUM(68+20)/175</f>
        <v>0.50285714285714289</v>
      </c>
      <c r="I32" s="10">
        <f>SUM(110+10)/175</f>
        <v>0.68571428571428572</v>
      </c>
      <c r="J32" s="10"/>
      <c r="K32" s="11">
        <f t="shared" si="1"/>
        <v>2.0685714285714285</v>
      </c>
      <c r="L32" s="9">
        <v>0.56000000000000005</v>
      </c>
      <c r="M32" s="10"/>
      <c r="N32" s="10">
        <v>0.68</v>
      </c>
      <c r="O32" s="10"/>
      <c r="P32" s="18">
        <f t="shared" si="2"/>
        <v>1.2400000000000002</v>
      </c>
      <c r="Q32" s="9">
        <f t="shared" si="3"/>
        <v>12.52</v>
      </c>
      <c r="R32" s="10">
        <f t="shared" si="4"/>
        <v>6.2528571428571427</v>
      </c>
      <c r="S32" s="10">
        <f t="shared" si="5"/>
        <v>7.4357142857142859</v>
      </c>
      <c r="T32" s="10">
        <f t="shared" si="6"/>
        <v>0</v>
      </c>
      <c r="U32" s="11">
        <f t="shared" si="7"/>
        <v>26.208571428571428</v>
      </c>
    </row>
    <row r="33" spans="1:21" ht="14.45" x14ac:dyDescent="0.3">
      <c r="A33" s="1" t="s">
        <v>39</v>
      </c>
      <c r="B33" s="12">
        <f>0.52+5.08+1.7+4.33+3.94+0.04+2.59+2.63+1.85+7.42+2.74+1.28+2.66</f>
        <v>36.78</v>
      </c>
      <c r="C33" s="13">
        <f>6.23+2.64+0.55+1.6+8.6+0.92+3.02+2.89</f>
        <v>26.450000000000003</v>
      </c>
      <c r="D33" s="13">
        <f>9.32+0.91+0.4+1.25+11.12+1.47+0.03</f>
        <v>24.5</v>
      </c>
      <c r="E33" s="13"/>
      <c r="F33" s="14">
        <f t="shared" si="0"/>
        <v>87.73</v>
      </c>
      <c r="G33" s="12">
        <f>SUM(94+431+10)/175</f>
        <v>3.0571428571428569</v>
      </c>
      <c r="H33" s="13">
        <f>SUM(401+140)/175</f>
        <v>3.0914285714285716</v>
      </c>
      <c r="I33" s="13">
        <f>SUM(182+201)/175</f>
        <v>2.1885714285714286</v>
      </c>
      <c r="J33" s="13"/>
      <c r="K33" s="11">
        <f t="shared" si="1"/>
        <v>8.3371428571428581</v>
      </c>
      <c r="L33" s="12"/>
      <c r="M33" s="13">
        <v>0.4</v>
      </c>
      <c r="N33" s="13">
        <v>0.16</v>
      </c>
      <c r="O33" s="13"/>
      <c r="P33" s="19">
        <f t="shared" si="2"/>
        <v>0.56000000000000005</v>
      </c>
      <c r="Q33" s="21">
        <f t="shared" si="3"/>
        <v>39.837142857142858</v>
      </c>
      <c r="R33" s="22">
        <f t="shared" si="4"/>
        <v>29.941428571428574</v>
      </c>
      <c r="S33" s="22">
        <f t="shared" si="5"/>
        <v>26.848571428571429</v>
      </c>
      <c r="T33" s="22">
        <f t="shared" si="6"/>
        <v>0</v>
      </c>
      <c r="U33" s="23">
        <f t="shared" si="7"/>
        <v>96.627142857142871</v>
      </c>
    </row>
    <row r="34" spans="1:21" s="4" customFormat="1" ht="14.45" x14ac:dyDescent="0.3">
      <c r="A34" s="2" t="s">
        <v>40</v>
      </c>
      <c r="B34" s="9"/>
      <c r="C34" s="10">
        <f>0.66</f>
        <v>0.66</v>
      </c>
      <c r="D34" s="10"/>
      <c r="E34" s="10"/>
      <c r="F34" s="11">
        <f t="shared" si="0"/>
        <v>0.66</v>
      </c>
      <c r="G34" s="9"/>
      <c r="H34" s="10"/>
      <c r="I34" s="10"/>
      <c r="J34" s="10"/>
      <c r="K34" s="11">
        <f t="shared" si="1"/>
        <v>0</v>
      </c>
      <c r="L34" s="9"/>
      <c r="M34" s="10"/>
      <c r="N34" s="10"/>
      <c r="O34" s="10"/>
      <c r="P34" s="18">
        <f t="shared" si="2"/>
        <v>0</v>
      </c>
      <c r="Q34" s="9">
        <f t="shared" si="3"/>
        <v>0</v>
      </c>
      <c r="R34" s="10">
        <f t="shared" si="4"/>
        <v>0.66</v>
      </c>
      <c r="S34" s="10">
        <f t="shared" si="5"/>
        <v>0</v>
      </c>
      <c r="T34" s="10">
        <f t="shared" si="6"/>
        <v>0</v>
      </c>
      <c r="U34" s="11">
        <f t="shared" si="7"/>
        <v>0.66</v>
      </c>
    </row>
    <row r="35" spans="1:21" ht="14.45" x14ac:dyDescent="0.3">
      <c r="A35" s="1" t="s">
        <v>41</v>
      </c>
      <c r="B35" s="12">
        <f>0.8+0.51+0.94</f>
        <v>2.25</v>
      </c>
      <c r="C35" s="13">
        <f>0.51+0.97+0.1+1.82+0.94</f>
        <v>4.34</v>
      </c>
      <c r="D35" s="13">
        <f>0.9+2.04+0.96+0.93</f>
        <v>4.83</v>
      </c>
      <c r="E35" s="13"/>
      <c r="F35" s="14">
        <f t="shared" si="0"/>
        <v>11.42</v>
      </c>
      <c r="G35" s="12">
        <f>SUM(6+58+1)/175</f>
        <v>0.37142857142857144</v>
      </c>
      <c r="H35" s="13">
        <f>SUM(66+69)/175</f>
        <v>0.77142857142857146</v>
      </c>
      <c r="I35" s="13">
        <f>SUM(28+17)/175</f>
        <v>0.25714285714285712</v>
      </c>
      <c r="J35" s="13"/>
      <c r="K35" s="11">
        <f t="shared" si="1"/>
        <v>1.4</v>
      </c>
      <c r="L35" s="12"/>
      <c r="M35" s="13">
        <v>0.13</v>
      </c>
      <c r="N35" s="13"/>
      <c r="O35" s="13"/>
      <c r="P35" s="19">
        <f t="shared" si="2"/>
        <v>0.13</v>
      </c>
      <c r="Q35" s="21">
        <f t="shared" si="3"/>
        <v>2.6214285714285714</v>
      </c>
      <c r="R35" s="22">
        <f t="shared" si="4"/>
        <v>5.2414285714285711</v>
      </c>
      <c r="S35" s="22">
        <f t="shared" si="5"/>
        <v>5.0871428571428572</v>
      </c>
      <c r="T35" s="22">
        <f t="shared" si="6"/>
        <v>0</v>
      </c>
      <c r="U35" s="23">
        <f t="shared" si="7"/>
        <v>12.95</v>
      </c>
    </row>
    <row r="36" spans="1:21" s="4" customFormat="1" ht="14.45" x14ac:dyDescent="0.3">
      <c r="A36" s="2" t="s">
        <v>42</v>
      </c>
      <c r="B36" s="9">
        <f>0.42+0.99</f>
        <v>1.41</v>
      </c>
      <c r="C36" s="10"/>
      <c r="D36" s="10"/>
      <c r="E36" s="10"/>
      <c r="F36" s="11">
        <f t="shared" si="0"/>
        <v>1.41</v>
      </c>
      <c r="G36" s="9">
        <f>SUM(9+18)/175</f>
        <v>0.15428571428571428</v>
      </c>
      <c r="H36" s="10"/>
      <c r="I36" s="10">
        <f>SUM(16)/175</f>
        <v>9.1428571428571428E-2</v>
      </c>
      <c r="J36" s="10"/>
      <c r="K36" s="11">
        <f t="shared" si="1"/>
        <v>0.24571428571428572</v>
      </c>
      <c r="L36" s="9"/>
      <c r="M36" s="10"/>
      <c r="N36" s="10"/>
      <c r="O36" s="10"/>
      <c r="P36" s="18">
        <f t="shared" si="2"/>
        <v>0</v>
      </c>
      <c r="Q36" s="9">
        <f t="shared" si="3"/>
        <v>1.5642857142857143</v>
      </c>
      <c r="R36" s="10">
        <f t="shared" si="4"/>
        <v>0</v>
      </c>
      <c r="S36" s="10">
        <f t="shared" si="5"/>
        <v>9.1428571428571428E-2</v>
      </c>
      <c r="T36" s="10">
        <f t="shared" si="6"/>
        <v>0</v>
      </c>
      <c r="U36" s="11">
        <f t="shared" si="7"/>
        <v>1.6557142857142857</v>
      </c>
    </row>
    <row r="37" spans="1:21" ht="14.45" x14ac:dyDescent="0.3">
      <c r="A37" s="1" t="s">
        <v>43</v>
      </c>
      <c r="B37" s="12">
        <f>0.35+1.74+0.87+0.9+2.42+0.96+0.55+0.85+0.68+1.73+0.82</f>
        <v>11.87</v>
      </c>
      <c r="C37" s="13">
        <f>0.84+0.98+0.95+0.95+0.99+0.96</f>
        <v>5.67</v>
      </c>
      <c r="D37" s="13">
        <f>2.48+0.95+0.47+0.08</f>
        <v>3.9799999999999995</v>
      </c>
      <c r="E37" s="13"/>
      <c r="F37" s="14">
        <f t="shared" si="0"/>
        <v>21.52</v>
      </c>
      <c r="G37" s="12">
        <f>SUM(52+68+10)/175</f>
        <v>0.74285714285714288</v>
      </c>
      <c r="H37" s="13">
        <f>SUM(34+20)/175</f>
        <v>0.30857142857142855</v>
      </c>
      <c r="I37" s="13">
        <f>SUM(36+46)/175</f>
        <v>0.46857142857142858</v>
      </c>
      <c r="J37" s="13"/>
      <c r="K37" s="11">
        <f t="shared" si="1"/>
        <v>1.52</v>
      </c>
      <c r="L37" s="12">
        <v>0.5</v>
      </c>
      <c r="M37" s="13"/>
      <c r="N37" s="13"/>
      <c r="O37" s="13"/>
      <c r="P37" s="19">
        <f t="shared" si="2"/>
        <v>0.5</v>
      </c>
      <c r="Q37" s="21">
        <f t="shared" si="3"/>
        <v>13.112857142857141</v>
      </c>
      <c r="R37" s="22">
        <f t="shared" si="4"/>
        <v>5.9785714285714286</v>
      </c>
      <c r="S37" s="22">
        <f t="shared" si="5"/>
        <v>4.4485714285714284</v>
      </c>
      <c r="T37" s="22">
        <f t="shared" si="6"/>
        <v>0</v>
      </c>
      <c r="U37" s="23">
        <f t="shared" si="7"/>
        <v>23.54</v>
      </c>
    </row>
    <row r="38" spans="1:21" s="4" customFormat="1" ht="14.45" x14ac:dyDescent="0.3">
      <c r="A38" s="2" t="s">
        <v>44</v>
      </c>
      <c r="B38" s="9">
        <f>0.87</f>
        <v>0.87</v>
      </c>
      <c r="C38" s="10"/>
      <c r="D38" s="10"/>
      <c r="E38" s="10"/>
      <c r="F38" s="11">
        <f t="shared" si="0"/>
        <v>0.87</v>
      </c>
      <c r="G38" s="9">
        <f>SUM(10)/175</f>
        <v>5.7142857142857141E-2</v>
      </c>
      <c r="H38" s="10"/>
      <c r="I38" s="10"/>
      <c r="J38" s="10"/>
      <c r="K38" s="11">
        <f t="shared" si="1"/>
        <v>5.7142857142857141E-2</v>
      </c>
      <c r="L38" s="9"/>
      <c r="M38" s="10"/>
      <c r="N38" s="10"/>
      <c r="O38" s="10"/>
      <c r="P38" s="18">
        <f t="shared" si="2"/>
        <v>0</v>
      </c>
      <c r="Q38" s="9">
        <f t="shared" si="3"/>
        <v>0.92714285714285716</v>
      </c>
      <c r="R38" s="10">
        <f t="shared" si="4"/>
        <v>0</v>
      </c>
      <c r="S38" s="10">
        <f t="shared" si="5"/>
        <v>0</v>
      </c>
      <c r="T38" s="10">
        <f t="shared" si="6"/>
        <v>0</v>
      </c>
      <c r="U38" s="11">
        <f t="shared" si="7"/>
        <v>0.92714285714285716</v>
      </c>
    </row>
    <row r="39" spans="1:21" ht="14.45" x14ac:dyDescent="0.3">
      <c r="A39" s="1" t="s">
        <v>45</v>
      </c>
      <c r="B39" s="12"/>
      <c r="C39" s="13"/>
      <c r="D39" s="13"/>
      <c r="E39" s="13"/>
      <c r="F39" s="14">
        <f t="shared" si="0"/>
        <v>0</v>
      </c>
      <c r="G39" s="12"/>
      <c r="H39" s="13"/>
      <c r="I39" s="13"/>
      <c r="J39" s="13"/>
      <c r="K39" s="11">
        <f t="shared" si="1"/>
        <v>0</v>
      </c>
      <c r="L39" s="12"/>
      <c r="M39" s="13"/>
      <c r="N39" s="13">
        <v>0.96</v>
      </c>
      <c r="O39" s="13"/>
      <c r="P39" s="19">
        <f t="shared" si="2"/>
        <v>0.96</v>
      </c>
      <c r="Q39" s="21">
        <f t="shared" si="3"/>
        <v>0</v>
      </c>
      <c r="R39" s="22">
        <f t="shared" si="4"/>
        <v>0</v>
      </c>
      <c r="S39" s="22">
        <f t="shared" si="5"/>
        <v>0.96</v>
      </c>
      <c r="T39" s="22">
        <f t="shared" si="6"/>
        <v>0</v>
      </c>
      <c r="U39" s="23">
        <f t="shared" si="7"/>
        <v>0.96</v>
      </c>
    </row>
    <row r="40" spans="1:21" s="4" customFormat="1" ht="14.45" x14ac:dyDescent="0.3">
      <c r="A40" s="2" t="s">
        <v>46</v>
      </c>
      <c r="B40" s="9"/>
      <c r="C40" s="10"/>
      <c r="D40" s="10"/>
      <c r="E40" s="10"/>
      <c r="F40" s="11">
        <f t="shared" si="0"/>
        <v>0</v>
      </c>
      <c r="G40" s="9"/>
      <c r="H40" s="10"/>
      <c r="I40" s="10"/>
      <c r="J40" s="10"/>
      <c r="K40" s="11">
        <f t="shared" si="1"/>
        <v>0</v>
      </c>
      <c r="L40" s="9"/>
      <c r="M40" s="10"/>
      <c r="N40" s="10"/>
      <c r="O40" s="10"/>
      <c r="P40" s="18">
        <f t="shared" si="2"/>
        <v>0</v>
      </c>
      <c r="Q40" s="9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11">
        <f t="shared" si="7"/>
        <v>0</v>
      </c>
    </row>
    <row r="41" spans="1:21" ht="14.45" x14ac:dyDescent="0.3">
      <c r="A41" s="1" t="s">
        <v>47</v>
      </c>
      <c r="B41" s="12">
        <f>0.49</f>
        <v>0.49</v>
      </c>
      <c r="C41" s="13"/>
      <c r="D41" s="13"/>
      <c r="E41" s="13"/>
      <c r="F41" s="14">
        <f t="shared" si="0"/>
        <v>0.49</v>
      </c>
      <c r="G41" s="12">
        <f>SUM(16)/175</f>
        <v>9.1428571428571428E-2</v>
      </c>
      <c r="H41" s="13"/>
      <c r="I41" s="13"/>
      <c r="J41" s="13"/>
      <c r="K41" s="11">
        <f t="shared" si="1"/>
        <v>9.1428571428571428E-2</v>
      </c>
      <c r="L41" s="12"/>
      <c r="M41" s="13">
        <v>0.3</v>
      </c>
      <c r="N41" s="13"/>
      <c r="O41" s="13"/>
      <c r="P41" s="19">
        <f t="shared" si="2"/>
        <v>0.3</v>
      </c>
      <c r="Q41" s="21">
        <f t="shared" si="3"/>
        <v>0.58142857142857141</v>
      </c>
      <c r="R41" s="22">
        <f t="shared" si="4"/>
        <v>0.3</v>
      </c>
      <c r="S41" s="22">
        <f t="shared" si="5"/>
        <v>0</v>
      </c>
      <c r="T41" s="22">
        <f t="shared" si="6"/>
        <v>0</v>
      </c>
      <c r="U41" s="23">
        <f t="shared" si="7"/>
        <v>0.88142857142857145</v>
      </c>
    </row>
    <row r="42" spans="1:21" s="4" customFormat="1" ht="14.45" x14ac:dyDescent="0.3">
      <c r="A42" s="2" t="s">
        <v>48</v>
      </c>
      <c r="B42" s="9">
        <f>0.14+1.12+2.35+0.01</f>
        <v>3.62</v>
      </c>
      <c r="C42" s="10">
        <f>1.13+0.93+0.99</f>
        <v>3.05</v>
      </c>
      <c r="D42" s="10">
        <f>2.45+0.45+1.81+2.87+0.88</f>
        <v>8.4600000000000009</v>
      </c>
      <c r="E42" s="10"/>
      <c r="F42" s="11">
        <f t="shared" si="0"/>
        <v>15.13</v>
      </c>
      <c r="G42" s="9">
        <f>SUM(18+65+10)/175</f>
        <v>0.53142857142857147</v>
      </c>
      <c r="H42" s="10">
        <f>SUM(86+26)/175</f>
        <v>0.64</v>
      </c>
      <c r="I42" s="10">
        <f>SUM(53+37)/175</f>
        <v>0.51428571428571423</v>
      </c>
      <c r="J42" s="10"/>
      <c r="K42" s="11">
        <f t="shared" si="1"/>
        <v>1.6857142857142857</v>
      </c>
      <c r="L42" s="9"/>
      <c r="M42" s="10">
        <v>1.56</v>
      </c>
      <c r="N42" s="10">
        <v>0.15</v>
      </c>
      <c r="O42" s="10"/>
      <c r="P42" s="18">
        <f t="shared" si="2"/>
        <v>1.71</v>
      </c>
      <c r="Q42" s="9">
        <f t="shared" si="3"/>
        <v>4.1514285714285712</v>
      </c>
      <c r="R42" s="10">
        <f t="shared" si="4"/>
        <v>5.25</v>
      </c>
      <c r="S42" s="10">
        <f t="shared" si="5"/>
        <v>9.1242857142857154</v>
      </c>
      <c r="T42" s="10">
        <f t="shared" si="6"/>
        <v>0</v>
      </c>
      <c r="U42" s="11">
        <f t="shared" si="7"/>
        <v>18.525714285714287</v>
      </c>
    </row>
    <row r="43" spans="1:21" ht="14.45" x14ac:dyDescent="0.3">
      <c r="A43" s="1" t="s">
        <v>49</v>
      </c>
      <c r="B43" s="12">
        <f>0.15+2.75+0.95</f>
        <v>3.8499999999999996</v>
      </c>
      <c r="C43" s="13">
        <f>2.67+0.92+0.91</f>
        <v>4.5</v>
      </c>
      <c r="D43" s="13">
        <f>0.95</f>
        <v>0.95</v>
      </c>
      <c r="E43" s="13"/>
      <c r="F43" s="14">
        <f t="shared" si="0"/>
        <v>9.2999999999999989</v>
      </c>
      <c r="G43" s="12">
        <f>SUM(31+17+10)/175</f>
        <v>0.33142857142857141</v>
      </c>
      <c r="H43" s="13">
        <f>SUM(29+56)/175</f>
        <v>0.48571428571428571</v>
      </c>
      <c r="I43" s="13">
        <f>SUM(36)/175</f>
        <v>0.20571428571428571</v>
      </c>
      <c r="J43" s="13"/>
      <c r="K43" s="11">
        <f t="shared" si="1"/>
        <v>1.0228571428571429</v>
      </c>
      <c r="L43" s="12"/>
      <c r="M43" s="13"/>
      <c r="N43" s="13">
        <v>0.35</v>
      </c>
      <c r="O43" s="13"/>
      <c r="P43" s="19">
        <f t="shared" si="2"/>
        <v>0.35</v>
      </c>
      <c r="Q43" s="21">
        <f t="shared" si="3"/>
        <v>4.1814285714285706</v>
      </c>
      <c r="R43" s="22">
        <f t="shared" si="4"/>
        <v>4.9857142857142858</v>
      </c>
      <c r="S43" s="22">
        <f t="shared" si="5"/>
        <v>1.5057142857142858</v>
      </c>
      <c r="T43" s="22">
        <f t="shared" si="6"/>
        <v>0</v>
      </c>
      <c r="U43" s="23">
        <f t="shared" si="7"/>
        <v>10.672857142857142</v>
      </c>
    </row>
    <row r="44" spans="1:21" s="4" customFormat="1" ht="14.45" x14ac:dyDescent="0.3">
      <c r="A44" s="2" t="s">
        <v>50</v>
      </c>
      <c r="B44" s="9"/>
      <c r="C44" s="10"/>
      <c r="D44" s="10"/>
      <c r="E44" s="10"/>
      <c r="F44" s="11">
        <f t="shared" si="0"/>
        <v>0</v>
      </c>
      <c r="G44" s="9"/>
      <c r="H44" s="10"/>
      <c r="I44" s="10"/>
      <c r="J44" s="10"/>
      <c r="K44" s="11">
        <f t="shared" si="1"/>
        <v>0</v>
      </c>
      <c r="L44" s="9"/>
      <c r="M44" s="10"/>
      <c r="N44" s="10"/>
      <c r="O44" s="10">
        <v>14.67</v>
      </c>
      <c r="P44" s="18">
        <f t="shared" si="2"/>
        <v>14.67</v>
      </c>
      <c r="Q44" s="9">
        <f t="shared" si="3"/>
        <v>0</v>
      </c>
      <c r="R44" s="10">
        <f t="shared" si="4"/>
        <v>0</v>
      </c>
      <c r="S44" s="10">
        <f t="shared" si="5"/>
        <v>0</v>
      </c>
      <c r="T44" s="10">
        <f t="shared" si="6"/>
        <v>14.67</v>
      </c>
      <c r="U44" s="11">
        <f t="shared" si="7"/>
        <v>14.67</v>
      </c>
    </row>
    <row r="45" spans="1:21" ht="14.45" x14ac:dyDescent="0.3">
      <c r="A45" s="1" t="s">
        <v>51</v>
      </c>
      <c r="B45" s="12">
        <f>0.63+0.89</f>
        <v>1.52</v>
      </c>
      <c r="C45" s="13">
        <f>0.84+0.75+1.75+0.87</f>
        <v>4.21</v>
      </c>
      <c r="D45" s="13">
        <f>1.66+0.95</f>
        <v>2.61</v>
      </c>
      <c r="E45" s="13"/>
      <c r="F45" s="14">
        <f>SUM(B45:E45)</f>
        <v>8.34</v>
      </c>
      <c r="G45" s="12">
        <f>SUM(17+8)/175</f>
        <v>0.14285714285714285</v>
      </c>
      <c r="H45" s="13">
        <f>SUM(50)/175</f>
        <v>0.2857142857142857</v>
      </c>
      <c r="I45" s="13"/>
      <c r="J45" s="13"/>
      <c r="K45" s="11">
        <f t="shared" si="1"/>
        <v>0.42857142857142855</v>
      </c>
      <c r="L45" s="12"/>
      <c r="M45" s="13"/>
      <c r="N45" s="13"/>
      <c r="O45" s="13"/>
      <c r="P45" s="19">
        <f t="shared" si="2"/>
        <v>0</v>
      </c>
      <c r="Q45" s="21">
        <f t="shared" si="3"/>
        <v>1.6628571428571428</v>
      </c>
      <c r="R45" s="22">
        <f t="shared" si="4"/>
        <v>4.4957142857142856</v>
      </c>
      <c r="S45" s="22">
        <f t="shared" si="5"/>
        <v>2.61</v>
      </c>
      <c r="T45" s="22">
        <f t="shared" si="6"/>
        <v>0</v>
      </c>
      <c r="U45" s="23">
        <f t="shared" si="7"/>
        <v>8.7685714285714287</v>
      </c>
    </row>
    <row r="46" spans="1:21" s="4" customFormat="1" ht="14.45" x14ac:dyDescent="0.3">
      <c r="A46" s="2" t="s">
        <v>52</v>
      </c>
      <c r="B46" s="9">
        <f>0.61+0.5+0.75</f>
        <v>1.8599999999999999</v>
      </c>
      <c r="C46" s="10"/>
      <c r="D46" s="10">
        <f>0.99+0.73</f>
        <v>1.72</v>
      </c>
      <c r="E46" s="10"/>
      <c r="F46" s="11">
        <f t="shared" si="0"/>
        <v>3.58</v>
      </c>
      <c r="G46" s="9">
        <f>SUM(27)/175</f>
        <v>0.15428571428571428</v>
      </c>
      <c r="H46" s="10"/>
      <c r="I46" s="10">
        <f>SUM(18)/175</f>
        <v>0.10285714285714286</v>
      </c>
      <c r="J46" s="10"/>
      <c r="K46" s="11">
        <f t="shared" si="1"/>
        <v>0.25714285714285712</v>
      </c>
      <c r="L46" s="9"/>
      <c r="M46" s="10">
        <v>0.34</v>
      </c>
      <c r="N46" s="10"/>
      <c r="O46" s="10"/>
      <c r="P46" s="18">
        <f t="shared" si="2"/>
        <v>0.34</v>
      </c>
      <c r="Q46" s="9">
        <f t="shared" si="3"/>
        <v>2.0142857142857142</v>
      </c>
      <c r="R46" s="10">
        <f t="shared" si="4"/>
        <v>0.34</v>
      </c>
      <c r="S46" s="10">
        <f t="shared" si="5"/>
        <v>1.8228571428571427</v>
      </c>
      <c r="T46" s="10">
        <f t="shared" si="6"/>
        <v>0</v>
      </c>
      <c r="U46" s="11">
        <f t="shared" si="7"/>
        <v>4.177142857142857</v>
      </c>
    </row>
    <row r="47" spans="1:21" ht="14.45" x14ac:dyDescent="0.3">
      <c r="A47" s="1" t="s">
        <v>53</v>
      </c>
      <c r="B47" s="12">
        <f>2.7+3.31+1.73+1.69</f>
        <v>9.43</v>
      </c>
      <c r="C47" s="13">
        <f>6.23+0.89</f>
        <v>7.12</v>
      </c>
      <c r="D47" s="13">
        <f>0.05+2.7+0.89+1.82</f>
        <v>5.46</v>
      </c>
      <c r="E47" s="13"/>
      <c r="F47" s="14">
        <f t="shared" si="0"/>
        <v>22.01</v>
      </c>
      <c r="G47" s="12">
        <f>SUM(21+14+10+82)/175</f>
        <v>0.72571428571428576</v>
      </c>
      <c r="H47" s="13">
        <f>SUM(19+67)/175</f>
        <v>0.49142857142857144</v>
      </c>
      <c r="I47" s="13">
        <f>SUM(15+67)/175</f>
        <v>0.46857142857142858</v>
      </c>
      <c r="J47" s="13"/>
      <c r="K47" s="11">
        <f t="shared" si="1"/>
        <v>1.6857142857142857</v>
      </c>
      <c r="L47" s="12"/>
      <c r="M47" s="13">
        <v>0.64</v>
      </c>
      <c r="N47" s="13"/>
      <c r="O47" s="13"/>
      <c r="P47" s="19">
        <f t="shared" si="2"/>
        <v>0.64</v>
      </c>
      <c r="Q47" s="21">
        <f t="shared" si="3"/>
        <v>10.155714285714286</v>
      </c>
      <c r="R47" s="22">
        <f t="shared" si="4"/>
        <v>8.2514285714285709</v>
      </c>
      <c r="S47" s="22">
        <f t="shared" si="5"/>
        <v>5.9285714285714288</v>
      </c>
      <c r="T47" s="22">
        <f t="shared" si="6"/>
        <v>0</v>
      </c>
      <c r="U47" s="23">
        <f t="shared" si="7"/>
        <v>24.335714285714289</v>
      </c>
    </row>
    <row r="48" spans="1:21" s="4" customFormat="1" thickBot="1" x14ac:dyDescent="0.35">
      <c r="A48" s="2" t="s">
        <v>54</v>
      </c>
      <c r="B48" s="15"/>
      <c r="C48" s="16"/>
      <c r="D48" s="16"/>
      <c r="E48" s="16">
        <f>17.09+0.09</f>
        <v>17.18</v>
      </c>
      <c r="F48" s="17">
        <f t="shared" si="0"/>
        <v>17.18</v>
      </c>
      <c r="G48" s="15"/>
      <c r="H48" s="16"/>
      <c r="I48" s="16"/>
      <c r="J48" s="16">
        <f>SUM(180)/175</f>
        <v>1.0285714285714285</v>
      </c>
      <c r="K48" s="26">
        <f t="shared" si="1"/>
        <v>1.0285714285714285</v>
      </c>
      <c r="L48" s="15"/>
      <c r="M48" s="16"/>
      <c r="N48" s="16"/>
      <c r="O48" s="16">
        <v>4.47</v>
      </c>
      <c r="P48" s="20">
        <f t="shared" si="2"/>
        <v>4.47</v>
      </c>
      <c r="Q48" s="15">
        <f t="shared" si="3"/>
        <v>0</v>
      </c>
      <c r="R48" s="16">
        <f t="shared" si="4"/>
        <v>0</v>
      </c>
      <c r="S48" s="16">
        <f t="shared" si="5"/>
        <v>0</v>
      </c>
      <c r="T48" s="24">
        <f t="shared" si="6"/>
        <v>22.678571428571427</v>
      </c>
      <c r="U48" s="17">
        <f t="shared" si="7"/>
        <v>22.678571428571427</v>
      </c>
    </row>
    <row r="49" spans="2:21" ht="15.75" thickTop="1" x14ac:dyDescent="0.25">
      <c r="B49" s="25">
        <f>SUM(B2:B48)</f>
        <v>177.75000000000006</v>
      </c>
      <c r="C49" s="25">
        <f t="shared" ref="C49:E49" si="8">SUM(C2:C48)</f>
        <v>134.6</v>
      </c>
      <c r="D49" s="25">
        <f t="shared" si="8"/>
        <v>106.28000000000002</v>
      </c>
      <c r="E49" s="25">
        <f t="shared" si="8"/>
        <v>37.14</v>
      </c>
      <c r="F49" s="5">
        <f>SUM(F2:F48)</f>
        <v>455.77000000000004</v>
      </c>
      <c r="G49" s="25">
        <f>SUM(G2:G48)</f>
        <v>14.074285714285713</v>
      </c>
      <c r="H49" s="25">
        <f t="shared" ref="H49:J49" si="9">SUM(H2:H48)</f>
        <v>12.502857142857144</v>
      </c>
      <c r="I49" s="25">
        <f t="shared" si="9"/>
        <v>7.6400000000000015</v>
      </c>
      <c r="J49" s="25">
        <f t="shared" si="9"/>
        <v>3.1542857142857144</v>
      </c>
      <c r="K49" s="5">
        <f>SUM(K2:K48)</f>
        <v>37.371428571428567</v>
      </c>
      <c r="L49" s="25">
        <f t="shared" ref="L49:O49" si="10">SUM(L2:L48)</f>
        <v>5.05</v>
      </c>
      <c r="M49" s="25">
        <f t="shared" si="10"/>
        <v>17.630000000000003</v>
      </c>
      <c r="N49" s="25">
        <f t="shared" si="10"/>
        <v>6.31</v>
      </c>
      <c r="O49" s="25">
        <f t="shared" si="10"/>
        <v>128.78000000000003</v>
      </c>
      <c r="P49" s="25">
        <f>SUM(P2:P48)</f>
        <v>157.76999999999998</v>
      </c>
      <c r="Q49" s="25">
        <f t="shared" ref="Q49:T49" si="11">SUM(Q2:Q48)</f>
        <v>196.87428571428569</v>
      </c>
      <c r="R49" s="25">
        <f t="shared" si="11"/>
        <v>164.73285714285711</v>
      </c>
      <c r="S49" s="25">
        <f t="shared" si="11"/>
        <v>120.22999999999999</v>
      </c>
      <c r="T49" s="25">
        <f t="shared" si="11"/>
        <v>169.07428571428568</v>
      </c>
      <c r="U49" s="5">
        <f>SUM(U2:U48)</f>
        <v>650.91142857142859</v>
      </c>
    </row>
  </sheetData>
  <pageMargins left="0.7" right="0.7" top="0.75" bottom="0.75" header="0.3" footer="0.3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kcsos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SACS</dc:creator>
  <cp:lastModifiedBy>Steven Gragg</cp:lastModifiedBy>
  <cp:lastPrinted>2014-07-11T19:17:09Z</cp:lastPrinted>
  <dcterms:created xsi:type="dcterms:W3CDTF">2014-02-13T18:38:21Z</dcterms:created>
  <dcterms:modified xsi:type="dcterms:W3CDTF">2014-09-12T20:34:46Z</dcterms:modified>
</cp:coreProperties>
</file>